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V:\Admin_TRRP\TMC_TAMWG\TMC\FY2019\December TMC Meeting\Budget\"/>
    </mc:Choice>
  </mc:AlternateContent>
  <bookViews>
    <workbookView xWindow="0" yWindow="0" windowWidth="19200" windowHeight="11490" activeTab="3"/>
  </bookViews>
  <sheets>
    <sheet name="Summary" sheetId="1" r:id="rId1"/>
    <sheet name="Admin" sheetId="2" r:id="rId2"/>
    <sheet name="Rig" sheetId="3" r:id="rId3"/>
    <sheet name="Science" sheetId="7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5" i="3" l="1"/>
  <c r="F37" i="7"/>
  <c r="D30" i="3" l="1"/>
  <c r="F26" i="3" l="1"/>
  <c r="G35" i="3"/>
  <c r="G20" i="3"/>
  <c r="G21" i="2"/>
  <c r="G9" i="2" l="1"/>
  <c r="G3" i="2"/>
  <c r="G4" i="3"/>
  <c r="G43" i="3"/>
  <c r="G41" i="3"/>
  <c r="G29" i="3"/>
  <c r="G28" i="3"/>
  <c r="G14" i="3"/>
  <c r="G13" i="3"/>
  <c r="G19" i="2"/>
  <c r="G18" i="2"/>
  <c r="G17" i="2"/>
  <c r="G26" i="2"/>
  <c r="G25" i="2"/>
  <c r="G24" i="2"/>
  <c r="G49" i="7"/>
  <c r="G61" i="7"/>
  <c r="G60" i="7"/>
  <c r="G59" i="7"/>
  <c r="G57" i="7"/>
  <c r="G56" i="7"/>
  <c r="G50" i="7"/>
  <c r="G47" i="7"/>
  <c r="G24" i="7"/>
  <c r="G15" i="7"/>
  <c r="G18" i="7"/>
  <c r="G17" i="7"/>
  <c r="G16" i="7"/>
  <c r="G14" i="7"/>
  <c r="G22" i="7"/>
  <c r="G21" i="7"/>
  <c r="G20" i="7"/>
  <c r="G19" i="7" s="1"/>
  <c r="G37" i="7" l="1"/>
  <c r="G25" i="7"/>
  <c r="G5" i="7" l="1"/>
  <c r="G6" i="7"/>
  <c r="G4" i="7"/>
  <c r="C63" i="7"/>
  <c r="F21" i="7"/>
  <c r="F15" i="7"/>
  <c r="F16" i="7"/>
  <c r="D17" i="7" l="1"/>
  <c r="D15" i="7"/>
  <c r="D14" i="7"/>
  <c r="E25" i="7"/>
  <c r="F25" i="7"/>
  <c r="D49" i="7" l="1"/>
  <c r="C62" i="7"/>
  <c r="F62" i="7"/>
  <c r="D37" i="7" l="1"/>
  <c r="E46" i="3" l="1"/>
  <c r="D43" i="3"/>
  <c r="E26" i="3"/>
  <c r="E33" i="3"/>
  <c r="F33" i="3"/>
  <c r="G11" i="3"/>
  <c r="E11" i="3"/>
  <c r="E7" i="2"/>
  <c r="E21" i="1"/>
  <c r="E27" i="1"/>
  <c r="G22" i="2"/>
  <c r="G29" i="2"/>
  <c r="G13" i="2"/>
  <c r="G7" i="2"/>
  <c r="G5" i="3"/>
  <c r="G33" i="3"/>
  <c r="G26" i="3"/>
  <c r="G50" i="3"/>
  <c r="G46" i="3"/>
  <c r="G51" i="3" l="1"/>
  <c r="E7" i="1" s="1"/>
  <c r="G31" i="2"/>
  <c r="E4" i="1" s="1"/>
  <c r="F45" i="7"/>
  <c r="G45" i="7"/>
  <c r="G62" i="7"/>
  <c r="G9" i="7"/>
  <c r="G63" i="7" l="1"/>
  <c r="E9" i="1" s="1"/>
  <c r="E12" i="1" s="1"/>
  <c r="B21" i="1"/>
  <c r="C21" i="1"/>
  <c r="C46" i="3" l="1"/>
  <c r="C33" i="3"/>
  <c r="D33" i="3"/>
  <c r="D21" i="1" l="1"/>
  <c r="D27" i="1"/>
  <c r="C27" i="1"/>
  <c r="B27" i="1"/>
  <c r="F46" i="3" l="1"/>
  <c r="D29" i="2" l="1"/>
  <c r="C27" i="2"/>
  <c r="C29" i="2" s="1"/>
  <c r="F22" i="2"/>
  <c r="D22" i="2"/>
  <c r="C22" i="2"/>
  <c r="F13" i="2"/>
  <c r="C13" i="2"/>
  <c r="D9" i="2"/>
  <c r="D13" i="2" s="1"/>
  <c r="D7" i="2"/>
  <c r="C7" i="2"/>
  <c r="F5" i="2"/>
  <c r="F4" i="2"/>
  <c r="F50" i="3"/>
  <c r="D50" i="3"/>
  <c r="C50" i="3"/>
  <c r="D46" i="3"/>
  <c r="D26" i="3"/>
  <c r="C26" i="3"/>
  <c r="F11" i="3"/>
  <c r="D11" i="3"/>
  <c r="C11" i="3"/>
  <c r="F5" i="3"/>
  <c r="D5" i="3"/>
  <c r="C5" i="3"/>
  <c r="C51" i="3" l="1"/>
  <c r="B7" i="1" s="1"/>
  <c r="D51" i="3"/>
  <c r="F51" i="3"/>
  <c r="F7" i="2"/>
  <c r="D31" i="2"/>
  <c r="C4" i="1" s="1"/>
  <c r="C31" i="2"/>
  <c r="B4" i="1" s="1"/>
  <c r="D7" i="1" l="1"/>
  <c r="C7" i="7" l="1"/>
  <c r="C9" i="7" s="1"/>
  <c r="D9" i="7"/>
  <c r="F9" i="7"/>
  <c r="D13" i="7"/>
  <c r="D25" i="7" s="1"/>
  <c r="C19" i="7"/>
  <c r="C25" i="7" s="1"/>
  <c r="D19" i="7"/>
  <c r="C27" i="7"/>
  <c r="C37" i="7" s="1"/>
  <c r="C45" i="7"/>
  <c r="D45" i="7"/>
  <c r="D47" i="7"/>
  <c r="E48" i="7"/>
  <c r="E62" i="7" s="1"/>
  <c r="D51" i="7"/>
  <c r="D56" i="7"/>
  <c r="D57" i="7"/>
  <c r="D58" i="7"/>
  <c r="D61" i="7"/>
  <c r="D62" i="7" l="1"/>
  <c r="F63" i="7"/>
  <c r="D9" i="1" s="1"/>
  <c r="E63" i="7"/>
  <c r="D63" i="7"/>
  <c r="C9" i="1" s="1"/>
  <c r="B9" i="1"/>
  <c r="B12" i="1" s="1"/>
  <c r="C12" i="1" l="1"/>
  <c r="D4" i="1"/>
  <c r="D12" i="1"/>
  <c r="F29" i="2"/>
  <c r="F31" i="2"/>
</calcChain>
</file>

<file path=xl/sharedStrings.xml><?xml version="1.0" encoding="utf-8"?>
<sst xmlns="http://schemas.openxmlformats.org/spreadsheetml/2006/main" count="184" uniqueCount="146">
  <si>
    <t>Summary by Program Activity</t>
  </si>
  <si>
    <t>Program Administration</t>
  </si>
  <si>
    <t>PROGRAM ADMINISTRATION</t>
  </si>
  <si>
    <t>Subtotal</t>
  </si>
  <si>
    <t xml:space="preserve">Trinity Management Council </t>
  </si>
  <si>
    <t xml:space="preserve">Technical Assistance </t>
  </si>
  <si>
    <t>TOTAL PROGRAM ADMINISTRATION</t>
  </si>
  <si>
    <t>Approved</t>
  </si>
  <si>
    <t>Planning</t>
  </si>
  <si>
    <t>Map and Quantify Riparian Vegetation</t>
  </si>
  <si>
    <t>Geo-Physical Support Services</t>
  </si>
  <si>
    <t>~Summer Aerial Photography of 40 Miles</t>
  </si>
  <si>
    <t>~Property Boundary Surveys</t>
  </si>
  <si>
    <t>Design and Support Services</t>
  </si>
  <si>
    <t xml:space="preserve">Subtotal </t>
  </si>
  <si>
    <t>Construction</t>
  </si>
  <si>
    <t>Watershed Implementation</t>
  </si>
  <si>
    <t>TOTAL IMPLEMENTATION BUDGET</t>
  </si>
  <si>
    <t>TOTAL</t>
  </si>
  <si>
    <t>Actuals</t>
  </si>
  <si>
    <t xml:space="preserve"> </t>
  </si>
  <si>
    <t>TRRP-2018-008: Riparian Bird Monitoring</t>
  </si>
  <si>
    <t>NOAA Fisheries - IA</t>
  </si>
  <si>
    <t>Forest Service - IA</t>
  </si>
  <si>
    <t>CA Dept of Fish &amp; Wildlife - FA</t>
  </si>
  <si>
    <r>
      <t>CA Dept of Water Resources</t>
    </r>
    <r>
      <rPr>
        <b/>
        <sz val="12"/>
        <rFont val="Arial"/>
        <family val="2"/>
      </rPr>
      <t xml:space="preserve"> - </t>
    </r>
    <r>
      <rPr>
        <sz val="12"/>
        <rFont val="Arial"/>
        <family val="2"/>
      </rPr>
      <t>FA</t>
    </r>
  </si>
  <si>
    <t>Hoopa Valley Tribe - AFA</t>
  </si>
  <si>
    <t>Yurok Tribe - AFA</t>
  </si>
  <si>
    <t>Trinity County -FA</t>
  </si>
  <si>
    <t>SCIENCE BUDGET</t>
  </si>
  <si>
    <t>Science Program Support</t>
  </si>
  <si>
    <t>Sub-total</t>
  </si>
  <si>
    <t>Science Synthesis Reports</t>
  </si>
  <si>
    <t>Status and Trend Monitoring: Adaptive Management</t>
  </si>
  <si>
    <t>Effectiveness Monitoring</t>
  </si>
  <si>
    <t>Model/Research</t>
  </si>
  <si>
    <t>Status and Trend: Fishery Management/Monitoring</t>
  </si>
  <si>
    <t>Total Science Budget</t>
  </si>
  <si>
    <t>2017       Actuals</t>
  </si>
  <si>
    <t>Proposed</t>
  </si>
  <si>
    <t>2018 Approved</t>
  </si>
  <si>
    <t xml:space="preserve">Watershed FOA FY17 </t>
  </si>
  <si>
    <r>
      <t xml:space="preserve">Reclamation Regional Office Personnel  </t>
    </r>
    <r>
      <rPr>
        <sz val="10"/>
        <color rgb="FF00B050"/>
        <rFont val="Arial"/>
        <family val="2"/>
      </rPr>
      <t>Contracting</t>
    </r>
  </si>
  <si>
    <t>Adjusted Approved</t>
  </si>
  <si>
    <r>
      <t xml:space="preserve">TRRP Program Office Personnel </t>
    </r>
    <r>
      <rPr>
        <sz val="10"/>
        <color rgb="FF00B050"/>
        <rFont val="Arial"/>
        <family val="2"/>
      </rPr>
      <t>ED, Secretary, Indian Self-Determination Specialist, Grants and Agreements Specialist</t>
    </r>
  </si>
  <si>
    <t>Implementation Personnel</t>
  </si>
  <si>
    <t>IMPLEMENTATION &amp; WATERSHED BUDGET</t>
  </si>
  <si>
    <r>
      <t>FEMA/Flood Compliance Updates -</t>
    </r>
    <r>
      <rPr>
        <sz val="10"/>
        <color rgb="FF00B050"/>
        <rFont val="Arial"/>
        <family val="2"/>
      </rPr>
      <t xml:space="preserve"> Denver TSC </t>
    </r>
  </si>
  <si>
    <r>
      <t xml:space="preserve">BLM Technical Assistance - IA </t>
    </r>
    <r>
      <rPr>
        <sz val="10"/>
        <color rgb="FF00B050"/>
        <rFont val="Arial"/>
        <family val="2"/>
      </rPr>
      <t>(NEPA, permits)</t>
    </r>
  </si>
  <si>
    <t xml:space="preserve">Herpetological Monitoring </t>
  </si>
  <si>
    <r>
      <t xml:space="preserve">Realty Acquisitions </t>
    </r>
    <r>
      <rPr>
        <sz val="10"/>
        <color rgb="FF00B050"/>
        <rFont val="Arial"/>
        <family val="2"/>
      </rPr>
      <t>(Easements, material storage)</t>
    </r>
  </si>
  <si>
    <t>Yurok Tribe Support Services</t>
  </si>
  <si>
    <r>
      <rPr>
        <sz val="12"/>
        <rFont val="Arial"/>
        <family val="2"/>
      </rPr>
      <t xml:space="preserve">TRRP Annual Report </t>
    </r>
    <r>
      <rPr>
        <sz val="10"/>
        <color rgb="FF00B050"/>
        <rFont val="Arial"/>
        <family val="2"/>
      </rPr>
      <t>(BOR Denver TSC)</t>
    </r>
  </si>
  <si>
    <t xml:space="preserve">CA Dept of Water Resources Support Services </t>
  </si>
  <si>
    <r>
      <t>BOR Willows Construction Office</t>
    </r>
    <r>
      <rPr>
        <sz val="10"/>
        <color rgb="FF00B050"/>
        <rFont val="Arial"/>
        <family val="2"/>
      </rPr>
      <t xml:space="preserve"> Inspection Services</t>
    </r>
  </si>
  <si>
    <t>2018          Adjusted Approved</t>
  </si>
  <si>
    <r>
      <t xml:space="preserve">TRRP Program Office Personnel </t>
    </r>
    <r>
      <rPr>
        <sz val="10"/>
        <rFont val="Arial"/>
        <family val="2"/>
      </rPr>
      <t xml:space="preserve"> </t>
    </r>
    <r>
      <rPr>
        <sz val="10"/>
        <color rgb="FF00B050"/>
        <rFont val="Arial"/>
        <family val="2"/>
      </rPr>
      <t>(Implementation Branch Chief, Outreach Coordinator, Surveyor, Civil Engineer, Senior Natural Resource Specialist)</t>
    </r>
  </si>
  <si>
    <t>Fully funded in FY18</t>
  </si>
  <si>
    <t>TRRP Administration Personnel</t>
  </si>
  <si>
    <r>
      <t xml:space="preserve">Public Education and Outreach/Website - TCRCD </t>
    </r>
    <r>
      <rPr>
        <sz val="10"/>
        <color rgb="FF00B050"/>
        <rFont val="Arial"/>
        <family val="2"/>
      </rPr>
      <t>Work expands community knowledge of Program and educates schoolchildren, promoting environmental stewardship with a goal of improving support/success of restoration efforts.</t>
    </r>
  </si>
  <si>
    <r>
      <t>Trinity County Technical Assistance</t>
    </r>
    <r>
      <rPr>
        <sz val="10"/>
        <rFont val="Arial"/>
        <family val="2"/>
      </rPr>
      <t xml:space="preserve"> </t>
    </r>
    <r>
      <rPr>
        <sz val="10"/>
        <color rgb="FF00B050"/>
        <rFont val="Arial"/>
        <family val="2"/>
      </rPr>
      <t>(TRRP grant, floodplain development permit, FEMA)</t>
    </r>
  </si>
  <si>
    <r>
      <t>High Flow Gravel Augmentation</t>
    </r>
    <r>
      <rPr>
        <sz val="10"/>
        <color rgb="FF00B050"/>
        <rFont val="Arial"/>
        <family val="2"/>
      </rPr>
      <t xml:space="preserve"> YT </t>
    </r>
  </si>
  <si>
    <r>
      <t xml:space="preserve">Gravel/Coarse Sediment Processing/Placement </t>
    </r>
    <r>
      <rPr>
        <sz val="8"/>
        <color rgb="FF00B050"/>
        <rFont val="Arial"/>
        <family val="2"/>
      </rPr>
      <t>YT</t>
    </r>
  </si>
  <si>
    <t xml:space="preserve">Sky Ranch and Sawmill road repair construction costs </t>
  </si>
  <si>
    <r>
      <t xml:space="preserve">Value Engineering Study - </t>
    </r>
    <r>
      <rPr>
        <sz val="10"/>
        <color rgb="FF00B050"/>
        <rFont val="Arial"/>
        <family val="2"/>
      </rPr>
      <t>Reclamation requirement</t>
    </r>
  </si>
  <si>
    <r>
      <t>BLM Wood Harvesting Agreement</t>
    </r>
    <r>
      <rPr>
        <sz val="10"/>
        <color rgb="FF00B050"/>
        <rFont val="Arial"/>
        <family val="2"/>
      </rPr>
      <t xml:space="preserve"> purchase of trees</t>
    </r>
  </si>
  <si>
    <r>
      <t xml:space="preserve">USFS Technical Assistance </t>
    </r>
    <r>
      <rPr>
        <sz val="10"/>
        <color rgb="FF00B050"/>
        <rFont val="Arial"/>
        <family val="2"/>
      </rPr>
      <t>Design, lg. wood/NEPA</t>
    </r>
  </si>
  <si>
    <t>Yurok Tribe</t>
  </si>
  <si>
    <r>
      <t xml:space="preserve">NEPA/CEQA Compliance/Permits/ </t>
    </r>
    <r>
      <rPr>
        <sz val="9"/>
        <color rgb="FF00B050"/>
        <rFont val="Arial"/>
        <family val="2"/>
      </rPr>
      <t>(TRRP contract, wetland delineation, bird surveys, native seed, cultural res surveys)</t>
    </r>
  </si>
  <si>
    <r>
      <t>Revegetation Maintenance/Irrigation-</t>
    </r>
    <r>
      <rPr>
        <sz val="10"/>
        <color rgb="FF00B050"/>
        <rFont val="Arial"/>
        <family val="2"/>
      </rPr>
      <t>HVT 3-year cycle for planning irrigation/maintenance, this is for sites planted during the previous 3 years. In FY 18 maintaining 3 sites- Bucktail, SC, and DG.</t>
    </r>
  </si>
  <si>
    <r>
      <t>~As-Built Survey for Channel Rehab</t>
    </r>
    <r>
      <rPr>
        <sz val="10"/>
        <color rgb="FF00B050"/>
        <rFont val="Arial"/>
        <family val="2"/>
      </rPr>
      <t xml:space="preserve"> (FY19 funding for FY19 work and new contract also starting in FY19)</t>
    </r>
  </si>
  <si>
    <t>Miscellaneous</t>
  </si>
  <si>
    <r>
      <t xml:space="preserve">Reclamation Northern California Area Office Personnel </t>
    </r>
    <r>
      <rPr>
        <sz val="10"/>
        <color rgb="FF00B050"/>
        <rFont val="Arial"/>
        <family val="2"/>
      </rPr>
      <t>(IT, maintenance, electricians, phone tech)</t>
    </r>
  </si>
  <si>
    <r>
      <t xml:space="preserve">TRRP Program Office Operations </t>
    </r>
    <r>
      <rPr>
        <sz val="10"/>
        <color rgb="FF00B050"/>
        <rFont val="Arial"/>
        <family val="2"/>
      </rPr>
      <t>(TRRP office rent, vehicles, security, utilities, supplies)</t>
    </r>
  </si>
  <si>
    <r>
      <t xml:space="preserve">TRRP Program Office Personnel (HVT) - </t>
    </r>
    <r>
      <rPr>
        <sz val="10"/>
        <color rgb="FF00B050"/>
        <rFont val="Arial"/>
        <family val="2"/>
      </rPr>
      <t>Riparian Ecologist</t>
    </r>
  </si>
  <si>
    <r>
      <t>TRRP Program Office Personnel</t>
    </r>
    <r>
      <rPr>
        <sz val="12"/>
        <color rgb="FF00B050"/>
        <rFont val="Arial"/>
        <family val="2"/>
      </rPr>
      <t xml:space="preserve"> </t>
    </r>
    <r>
      <rPr>
        <sz val="10"/>
        <color rgb="FF00B050"/>
        <rFont val="Arial"/>
        <family val="2"/>
      </rPr>
      <t>(Data Steward, Hydrologist, Geomorphologist, Natural Resource Specialist)</t>
    </r>
  </si>
  <si>
    <r>
      <t xml:space="preserve">FWS Science Personnel </t>
    </r>
    <r>
      <rPr>
        <sz val="10"/>
        <color rgb="FF00B050"/>
        <rFont val="Arial"/>
        <family val="2"/>
      </rPr>
      <t>(FY19 $882,445) portions of Supervisory Fish and Wildlife Biologists, Supervisory Fish Biologists, and Fishery technicians positions,</t>
    </r>
    <r>
      <rPr>
        <sz val="12"/>
        <color rgb="FF00B050"/>
        <rFont val="Arial"/>
        <family val="2"/>
      </rPr>
      <t xml:space="preserve"> </t>
    </r>
    <r>
      <rPr>
        <sz val="12"/>
        <rFont val="Arial"/>
        <family val="2"/>
      </rPr>
      <t>and Office Operations</t>
    </r>
    <r>
      <rPr>
        <sz val="10"/>
        <rFont val="Arial"/>
        <family val="2"/>
      </rPr>
      <t xml:space="preserve"> </t>
    </r>
    <r>
      <rPr>
        <sz val="10"/>
        <color rgb="FF00B050"/>
        <rFont val="Arial"/>
        <family val="2"/>
      </rPr>
      <t>(FY19 $233,052)</t>
    </r>
  </si>
  <si>
    <t>Pay Forward FY19 costs</t>
  </si>
  <si>
    <r>
      <t>TRRP-2018-014: Monitor redd distribution, abundance and densities</t>
    </r>
    <r>
      <rPr>
        <sz val="10"/>
        <color theme="1"/>
        <rFont val="Arial"/>
        <family val="2"/>
      </rPr>
      <t xml:space="preserve"> </t>
    </r>
    <r>
      <rPr>
        <sz val="10"/>
        <color rgb="FF00B050"/>
        <rFont val="Arial"/>
        <family val="2"/>
      </rPr>
      <t>CDFW, YT, HVT, FS, FWS</t>
    </r>
  </si>
  <si>
    <r>
      <t>TRRP-2018-012:Outmigrant Monitoring</t>
    </r>
    <r>
      <rPr>
        <sz val="12"/>
        <color rgb="FFFF0000"/>
        <rFont val="Arial"/>
        <family val="2"/>
      </rPr>
      <t xml:space="preserve"> </t>
    </r>
    <r>
      <rPr>
        <sz val="9"/>
        <color rgb="FF00B050"/>
        <rFont val="Arial"/>
        <family val="2"/>
      </rPr>
      <t>HVT, YT, FWS</t>
    </r>
  </si>
  <si>
    <r>
      <t xml:space="preserve">TRRP-2018-036: Stream Gaging </t>
    </r>
    <r>
      <rPr>
        <sz val="10"/>
        <color rgb="FF00B050"/>
        <rFont val="Arial"/>
        <family val="2"/>
      </rPr>
      <t>BOR Region Contract</t>
    </r>
  </si>
  <si>
    <r>
      <t xml:space="preserve">TRRP-2018-023: Riparian Recruitment </t>
    </r>
    <r>
      <rPr>
        <sz val="10"/>
        <color rgb="FF00B050"/>
        <rFont val="Arial"/>
        <family val="2"/>
      </rPr>
      <t>(HVT)</t>
    </r>
  </si>
  <si>
    <r>
      <t xml:space="preserve">TRRP-2018-020: Riparian Recruitment Model </t>
    </r>
    <r>
      <rPr>
        <sz val="10"/>
        <color rgb="FF00B050"/>
        <rFont val="Arial"/>
        <family val="2"/>
      </rPr>
      <t>(HVT)</t>
    </r>
  </si>
  <si>
    <r>
      <t>TRRP-2018-015: Video Weir WC</t>
    </r>
    <r>
      <rPr>
        <sz val="12"/>
        <color rgb="FF00B050"/>
        <rFont val="Arial"/>
        <family val="2"/>
      </rPr>
      <t xml:space="preserve"> </t>
    </r>
    <r>
      <rPr>
        <sz val="10"/>
        <color rgb="FF00B050"/>
        <rFont val="Arial"/>
        <family val="2"/>
      </rPr>
      <t>(CDFW, HVT, YT)</t>
    </r>
  </si>
  <si>
    <r>
      <t>TRRP-2018-005: Sport Harvest/Trinity Creel</t>
    </r>
    <r>
      <rPr>
        <sz val="12"/>
        <color rgb="FF0070C0"/>
        <rFont val="Arial"/>
        <family val="2"/>
      </rPr>
      <t xml:space="preserve">** </t>
    </r>
    <r>
      <rPr>
        <sz val="10"/>
        <color rgb="FF00B050"/>
        <rFont val="Arial"/>
        <family val="2"/>
      </rPr>
      <t>HVT</t>
    </r>
  </si>
  <si>
    <t>FWS Administration personnel</t>
  </si>
  <si>
    <t>TRRP Administration</t>
  </si>
  <si>
    <r>
      <t>TRRP-2018-034: Chinook Coded Wire Tagging-Fall Chinook</t>
    </r>
    <r>
      <rPr>
        <sz val="12"/>
        <color theme="5"/>
        <rFont val="Arial"/>
        <family val="2"/>
      </rPr>
      <t xml:space="preserve"> </t>
    </r>
    <r>
      <rPr>
        <b/>
        <sz val="10"/>
        <color theme="5"/>
        <rFont val="Arial"/>
        <family val="2"/>
      </rPr>
      <t>NCAO paying CWT purchase $114k</t>
    </r>
    <r>
      <rPr>
        <sz val="10"/>
        <color theme="5"/>
        <rFont val="Arial"/>
        <family val="2"/>
      </rPr>
      <t xml:space="preserve">  </t>
    </r>
    <r>
      <rPr>
        <sz val="10"/>
        <color rgb="FF00B050"/>
        <rFont val="Arial"/>
        <family val="2"/>
      </rPr>
      <t>(HVT)</t>
    </r>
  </si>
  <si>
    <r>
      <t xml:space="preserve">TMC Notetaker - </t>
    </r>
    <r>
      <rPr>
        <sz val="10"/>
        <color rgb="FF00B050"/>
        <rFont val="Arial"/>
        <family val="2"/>
      </rPr>
      <t>TRRP contract</t>
    </r>
  </si>
  <si>
    <t>TSC Design support OR Gulch</t>
  </si>
  <si>
    <r>
      <t xml:space="preserve">Large Wood Supply </t>
    </r>
    <r>
      <rPr>
        <sz val="10"/>
        <color rgb="FF00B050"/>
        <rFont val="Arial"/>
        <family val="2"/>
      </rPr>
      <t xml:space="preserve">YT </t>
    </r>
  </si>
  <si>
    <t>Hoopa Valley Tribe</t>
  </si>
  <si>
    <t>Fish and Wildlife Services</t>
  </si>
  <si>
    <t>United States Geological Society</t>
  </si>
  <si>
    <t>California Department of Fish and Wildlife</t>
  </si>
  <si>
    <t>Forest Service</t>
  </si>
  <si>
    <t>Fish and Wildlife Service</t>
  </si>
  <si>
    <t>2020           Proposed</t>
  </si>
  <si>
    <t>2019           Approved</t>
  </si>
  <si>
    <t>2020 Proposed</t>
  </si>
  <si>
    <t>2019 Approved</t>
  </si>
  <si>
    <t>2018             Actuals</t>
  </si>
  <si>
    <t xml:space="preserve">Watershed FOA </t>
  </si>
  <si>
    <r>
      <t xml:space="preserve">Junction City House </t>
    </r>
    <r>
      <rPr>
        <sz val="10"/>
        <color rgb="FF00B050"/>
        <rFont val="Arial"/>
        <family val="2"/>
      </rPr>
      <t xml:space="preserve">(estimate for elevation) </t>
    </r>
  </si>
  <si>
    <t>2017 Actuals</t>
  </si>
  <si>
    <t>Amounts are 2-year funding, FY18 and FY19</t>
  </si>
  <si>
    <t>Partial or full 2-year funding, FY18 and FY19</t>
  </si>
  <si>
    <r>
      <rPr>
        <sz val="12"/>
        <rFont val="Arial"/>
        <family val="2"/>
      </rPr>
      <t>Hoopa Valley Tribe</t>
    </r>
    <r>
      <rPr>
        <sz val="10"/>
        <rFont val="Arial"/>
        <family val="2"/>
      </rPr>
      <t xml:space="preserve"> -AFA</t>
    </r>
  </si>
  <si>
    <t>Yurok Tribe-AFA</t>
  </si>
  <si>
    <t>CDFW -FA</t>
  </si>
  <si>
    <r>
      <t>Native Seed Supply</t>
    </r>
    <r>
      <rPr>
        <sz val="10"/>
        <rFont val="Arial"/>
        <family val="2"/>
      </rPr>
      <t xml:space="preserve"> </t>
    </r>
  </si>
  <si>
    <t>Hoopa Valley Tribe Support Services</t>
  </si>
  <si>
    <r>
      <t xml:space="preserve">Systemic Riparian Mapping Project </t>
    </r>
    <r>
      <rPr>
        <sz val="10"/>
        <color rgb="FF00B050"/>
        <rFont val="Arial"/>
        <family val="2"/>
      </rPr>
      <t>HVT</t>
    </r>
    <r>
      <rPr>
        <sz val="12"/>
        <rFont val="Arial"/>
        <family val="2"/>
      </rPr>
      <t xml:space="preserve"> </t>
    </r>
    <r>
      <rPr>
        <sz val="10"/>
        <rFont val="Arial"/>
        <family val="2"/>
      </rPr>
      <t>(Funded Every 5 Years)</t>
    </r>
  </si>
  <si>
    <r>
      <t>~Bathymetry, Aerial Lidar and Data Assembly</t>
    </r>
    <r>
      <rPr>
        <sz val="10"/>
        <rFont val="Arial"/>
        <family val="2"/>
      </rPr>
      <t xml:space="preserve"> (Funded Every 5 Years)</t>
    </r>
  </si>
  <si>
    <r>
      <t xml:space="preserve">Geologic Investment (Test Pits) </t>
    </r>
    <r>
      <rPr>
        <sz val="10"/>
        <color rgb="FF00B050"/>
        <rFont val="Arial"/>
        <family val="2"/>
      </rPr>
      <t>MP Region</t>
    </r>
  </si>
  <si>
    <r>
      <t>TRRP-2018-028: Soil Amendments</t>
    </r>
    <r>
      <rPr>
        <sz val="10"/>
        <color theme="1"/>
        <rFont val="Arial"/>
        <family val="2"/>
      </rPr>
      <t xml:space="preserve"> </t>
    </r>
    <r>
      <rPr>
        <sz val="10"/>
        <color rgb="FF00B050"/>
        <rFont val="Arial"/>
        <family val="2"/>
      </rPr>
      <t>(HVT)</t>
    </r>
  </si>
  <si>
    <r>
      <t>TRRP-2018-030: ~Gravel Implementation Monitoring</t>
    </r>
    <r>
      <rPr>
        <sz val="10"/>
        <rFont val="Arial"/>
        <family val="2"/>
      </rPr>
      <t xml:space="preserve"> </t>
    </r>
    <r>
      <rPr>
        <sz val="10"/>
        <color rgb="FF00B050"/>
        <rFont val="Arial"/>
        <family val="2"/>
      </rPr>
      <t>(TRRP contract)</t>
    </r>
  </si>
  <si>
    <r>
      <t>TRRP-2018-026: YT Harvest (Lower Klamath)</t>
    </r>
    <r>
      <rPr>
        <b/>
        <sz val="10"/>
        <color rgb="FF0070C0"/>
        <rFont val="Arial"/>
        <family val="2"/>
      </rPr>
      <t xml:space="preserve"> </t>
    </r>
    <r>
      <rPr>
        <sz val="10"/>
        <color rgb="FF0070C0"/>
        <rFont val="Arial"/>
        <family val="2"/>
      </rPr>
      <t>(</t>
    </r>
    <r>
      <rPr>
        <sz val="10"/>
        <color rgb="FF00B050"/>
        <rFont val="Arial"/>
        <family val="2"/>
      </rPr>
      <t>YT)</t>
    </r>
  </si>
  <si>
    <r>
      <t>TRRP-2018-006: HVT Harvest (Lower Harvest)</t>
    </r>
    <r>
      <rPr>
        <sz val="10"/>
        <color rgb="FF00B050"/>
        <rFont val="Arial"/>
        <family val="2"/>
      </rPr>
      <t>(HVT)</t>
    </r>
  </si>
  <si>
    <r>
      <t xml:space="preserve">TRRP-2018-010: State Lower Klamath </t>
    </r>
    <r>
      <rPr>
        <sz val="10"/>
        <color rgb="FF0070C0"/>
        <rFont val="Arial"/>
        <family val="2"/>
      </rPr>
      <t xml:space="preserve"> </t>
    </r>
    <r>
      <rPr>
        <sz val="10"/>
        <color rgb="FF00B050"/>
        <rFont val="Arial"/>
        <family val="2"/>
      </rPr>
      <t>(CDFW)</t>
    </r>
  </si>
  <si>
    <r>
      <t>TRRP-2018-001: Chinook Run-Size Est.</t>
    </r>
    <r>
      <rPr>
        <sz val="10"/>
        <color rgb="FF00B050"/>
        <rFont val="Arial"/>
        <family val="2"/>
      </rPr>
      <t>(CDFW, HVT)</t>
    </r>
  </si>
  <si>
    <r>
      <t>TRRP-2018-004: Fall Run Scale Age</t>
    </r>
    <r>
      <rPr>
        <sz val="10"/>
        <rFont val="Arial"/>
        <family val="2"/>
      </rPr>
      <t xml:space="preserve"> (</t>
    </r>
    <r>
      <rPr>
        <sz val="10"/>
        <color rgb="FF00B050"/>
        <rFont val="Arial"/>
        <family val="2"/>
      </rPr>
      <t>HVT, YT)</t>
    </r>
  </si>
  <si>
    <r>
      <t xml:space="preserve">TRRP-2018-013: S3 Model </t>
    </r>
    <r>
      <rPr>
        <sz val="10"/>
        <color theme="1"/>
        <rFont val="Arial"/>
        <family val="2"/>
      </rPr>
      <t xml:space="preserve"> </t>
    </r>
    <r>
      <rPr>
        <sz val="10"/>
        <color rgb="FF00B050"/>
        <rFont val="Arial"/>
        <family val="2"/>
      </rPr>
      <t>(FWS, USGS, YT, HVT)</t>
    </r>
  </si>
  <si>
    <r>
      <t>TRRP-2018-029: Macroinvertebrate Drift (</t>
    </r>
    <r>
      <rPr>
        <sz val="10"/>
        <color rgb="FF00B050"/>
        <rFont val="Arial"/>
        <family val="2"/>
      </rPr>
      <t>YT, HVT)</t>
    </r>
    <r>
      <rPr>
        <sz val="10"/>
        <color rgb="FFFF0000"/>
        <rFont val="Arial"/>
        <family val="2"/>
      </rPr>
      <t xml:space="preserve"> pending peer review</t>
    </r>
  </si>
  <si>
    <r>
      <rPr>
        <sz val="12"/>
        <color theme="1"/>
        <rFont val="Arial"/>
        <family val="2"/>
      </rPr>
      <t>TRRP-2018-035: Channel rehab habitat effectiveness (</t>
    </r>
    <r>
      <rPr>
        <sz val="10"/>
        <color rgb="FF00B050"/>
        <rFont val="Arial"/>
        <family val="2"/>
      </rPr>
      <t xml:space="preserve">YT, HVT, FWS) </t>
    </r>
    <r>
      <rPr>
        <sz val="10"/>
        <color rgb="FFFF0000"/>
        <rFont val="Arial"/>
        <family val="2"/>
      </rPr>
      <t>pending peer review</t>
    </r>
  </si>
  <si>
    <r>
      <t xml:space="preserve">Construction Projects - </t>
    </r>
    <r>
      <rPr>
        <sz val="10"/>
        <color rgb="FFFF0000"/>
        <rFont val="Arial"/>
        <family val="2"/>
      </rPr>
      <t>available funding</t>
    </r>
  </si>
  <si>
    <r>
      <t xml:space="preserve">BAs Development </t>
    </r>
    <r>
      <rPr>
        <sz val="10"/>
        <color rgb="FF00B050"/>
        <rFont val="Arial"/>
        <family val="2"/>
      </rPr>
      <t>(TRRP contract, spotted owl/coho/watershed wide) +</t>
    </r>
    <r>
      <rPr>
        <sz val="10"/>
        <color rgb="FFFF0000"/>
        <rFont val="Arial"/>
        <family val="2"/>
      </rPr>
      <t xml:space="preserve"> $39k actual contract bid</t>
    </r>
  </si>
  <si>
    <r>
      <t xml:space="preserve">FWS </t>
    </r>
    <r>
      <rPr>
        <sz val="10"/>
        <color rgb="FFFF0000"/>
        <rFont val="Arial"/>
        <family val="2"/>
      </rPr>
      <t>(IP TSC contract missed FY18 funding-BOR to fund)</t>
    </r>
  </si>
  <si>
    <r>
      <t xml:space="preserve">Refinements Facilitator </t>
    </r>
    <r>
      <rPr>
        <sz val="10"/>
        <color rgb="FFFF0000"/>
        <rFont val="Arial"/>
        <family val="2"/>
      </rPr>
      <t>placeholder estimate</t>
    </r>
    <r>
      <rPr>
        <sz val="10"/>
        <color rgb="FF00B050"/>
        <rFont val="Arial"/>
        <family val="2"/>
      </rPr>
      <t xml:space="preserve"> - BOR</t>
    </r>
  </si>
  <si>
    <r>
      <t>SAB Participation</t>
    </r>
    <r>
      <rPr>
        <sz val="12"/>
        <color rgb="FF00B050"/>
        <rFont val="Arial"/>
        <family val="2"/>
      </rPr>
      <t xml:space="preserve"> </t>
    </r>
    <r>
      <rPr>
        <sz val="10"/>
        <color rgb="FF00B050"/>
        <rFont val="Arial"/>
        <family val="2"/>
      </rPr>
      <t xml:space="preserve">(5 SAB members) </t>
    </r>
    <r>
      <rPr>
        <sz val="10"/>
        <color rgb="FFFF0000"/>
        <rFont val="Arial"/>
        <family val="2"/>
      </rPr>
      <t xml:space="preserve"> moving $115k from FY19 to FY20</t>
    </r>
  </si>
  <si>
    <r>
      <t xml:space="preserve"> USBR </t>
    </r>
    <r>
      <rPr>
        <b/>
        <sz val="10"/>
        <rFont val="Arial"/>
        <family val="2"/>
      </rPr>
      <t>(Water &amp; Related A30 funds)</t>
    </r>
  </si>
  <si>
    <r>
      <t xml:space="preserve"> USBR </t>
    </r>
    <r>
      <rPr>
        <b/>
        <sz val="10"/>
        <rFont val="Arial"/>
        <family val="2"/>
      </rPr>
      <t>(CVPIA H37 funds)</t>
    </r>
  </si>
  <si>
    <r>
      <t>Rehabilitation Implementation</t>
    </r>
    <r>
      <rPr>
        <sz val="12"/>
        <rFont val="Arial"/>
        <family val="2"/>
      </rPr>
      <t xml:space="preserve"> </t>
    </r>
  </si>
  <si>
    <r>
      <t xml:space="preserve">Science Program </t>
    </r>
    <r>
      <rPr>
        <b/>
        <sz val="10"/>
        <rFont val="Arial"/>
        <family val="2"/>
      </rPr>
      <t>- includes transferred FWS tribal funds</t>
    </r>
  </si>
  <si>
    <r>
      <t>TOTAL FWS retained TRRP funds -</t>
    </r>
    <r>
      <rPr>
        <b/>
        <sz val="10"/>
        <color rgb="FF0070C0"/>
        <rFont val="Arial"/>
        <family val="2"/>
      </rPr>
      <t xml:space="preserve"> salary/ops </t>
    </r>
  </si>
  <si>
    <r>
      <t xml:space="preserve">(Program Administration - </t>
    </r>
    <r>
      <rPr>
        <b/>
        <sz val="10"/>
        <color rgb="FF0070C0"/>
        <rFont val="Arial"/>
        <family val="2"/>
      </rPr>
      <t xml:space="preserve">salary retained with FWS) </t>
    </r>
  </si>
  <si>
    <r>
      <rPr>
        <b/>
        <sz val="12"/>
        <color rgb="FF0070C0"/>
        <rFont val="Arial"/>
        <family val="2"/>
      </rPr>
      <t>TOTAL TMC Budget</t>
    </r>
    <r>
      <rPr>
        <b/>
        <sz val="10"/>
        <color rgb="FF0070C0"/>
        <rFont val="Arial"/>
        <family val="2"/>
      </rPr>
      <t xml:space="preserve"> minus FWS salaries/ops</t>
    </r>
  </si>
  <si>
    <r>
      <t>Partial or full 2-year funding;</t>
    </r>
    <r>
      <rPr>
        <sz val="10"/>
        <color rgb="FF0070C0"/>
        <rFont val="Arial"/>
        <family val="2"/>
      </rPr>
      <t xml:space="preserve"> </t>
    </r>
    <r>
      <rPr>
        <sz val="10"/>
        <color rgb="FF7030A0"/>
        <rFont val="Arial"/>
        <family val="2"/>
      </rPr>
      <t xml:space="preserve">25% Reduction due to 2017 low fish return; Actual Amount Unknown, </t>
    </r>
    <r>
      <rPr>
        <sz val="10"/>
        <color rgb="FFFF0000"/>
        <rFont val="Arial"/>
        <family val="2"/>
      </rPr>
      <t xml:space="preserve">Copied Estimate from FY17 Approved budget; </t>
    </r>
  </si>
  <si>
    <r>
      <t xml:space="preserve">Reviews </t>
    </r>
    <r>
      <rPr>
        <sz val="10"/>
        <color rgb="FF00B050"/>
        <rFont val="Arial"/>
        <family val="2"/>
      </rPr>
      <t>(Program science reports peer reviews-FWS)</t>
    </r>
  </si>
  <si>
    <r>
      <t>TMC Budget (</t>
    </r>
    <r>
      <rPr>
        <b/>
        <i/>
        <sz val="10"/>
        <color theme="0"/>
        <rFont val="Arial"/>
        <family val="2"/>
      </rPr>
      <t>minus FWS retained salaries/ops funds</t>
    </r>
    <r>
      <rPr>
        <b/>
        <sz val="10"/>
        <color theme="0"/>
        <rFont val="Arial"/>
        <family val="2"/>
      </rPr>
      <t>)</t>
    </r>
    <r>
      <rPr>
        <b/>
        <sz val="12"/>
        <color theme="0"/>
        <rFont val="Arial"/>
        <family val="2"/>
      </rPr>
      <t>:</t>
    </r>
  </si>
  <si>
    <r>
      <t>FWS TRRP Funds outside of TMC Budget</t>
    </r>
    <r>
      <rPr>
        <b/>
        <sz val="14"/>
        <color rgb="FFFF0000"/>
        <rFont val="Arial"/>
        <family val="2"/>
      </rPr>
      <t>*</t>
    </r>
  </si>
  <si>
    <t>*FWS funds retained at FWS annually; not part of expenditures approved by TMC</t>
  </si>
  <si>
    <r>
      <t>FWS -</t>
    </r>
    <r>
      <rPr>
        <b/>
        <sz val="10"/>
        <rFont val="Arial"/>
        <family val="2"/>
      </rPr>
      <t xml:space="preserve"> annual transfer to USBR</t>
    </r>
    <r>
      <rPr>
        <b/>
        <sz val="14"/>
        <color rgb="FFFF0000"/>
        <rFont val="Arial"/>
        <family val="2"/>
      </rPr>
      <t>*</t>
    </r>
  </si>
  <si>
    <t>*FWS annual funds transferred to USBR for Tribal monitoring/survey projects.  Obligated with FWS prior FY end-of-year funds.</t>
  </si>
  <si>
    <r>
      <t xml:space="preserve">(Science Program -  </t>
    </r>
    <r>
      <rPr>
        <b/>
        <sz val="10"/>
        <color rgb="FF0070C0"/>
        <rFont val="Arial"/>
        <family val="2"/>
      </rPr>
      <t xml:space="preserve">salary/ops funds retained with FWS) </t>
    </r>
  </si>
  <si>
    <t xml:space="preserve">Rehab Site Enhancements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</si>
</sst>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&quot;$&quot;#,##0_);[Red]\(&quot;$&quot;#,##0\)"/>
    <numFmt numFmtId="8" formatCode="&quot;$&quot;#,##0.00_);[Red]\(&quot;$&quot;#,##0.00\)"/>
    <numFmt numFmtId="41" formatCode="_(* #,##0_);_(* \(#,##0\);_(* &quot;-&quot;_);_(@_)"/>
    <numFmt numFmtId="44" formatCode="_(&quot;$&quot;* #,##0.00_);_(&quot;$&quot;* \(#,##0.00\);_(&quot;$&quot;* &quot;-&quot;??_);_(@_)"/>
    <numFmt numFmtId="164" formatCode="&quot;$&quot;#,##0"/>
  </numFmts>
  <fonts count="4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sz val="10"/>
      <name val="Times New Roman"/>
      <family val="1"/>
    </font>
    <font>
      <b/>
      <i/>
      <sz val="12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12"/>
      <color rgb="FF00B050"/>
      <name val="Arial"/>
      <family val="2"/>
    </font>
    <font>
      <b/>
      <sz val="12"/>
      <color rgb="FF7030A0"/>
      <name val="Calibri"/>
      <family val="2"/>
      <scheme val="minor"/>
    </font>
    <font>
      <sz val="12"/>
      <color rgb="FF7030A0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FF0000"/>
      <name val="Arial"/>
      <family val="2"/>
    </font>
    <font>
      <sz val="12"/>
      <color theme="5"/>
      <name val="Arial"/>
      <family val="2"/>
    </font>
    <font>
      <sz val="12"/>
      <color theme="5" tint="-0.249977111117893"/>
      <name val="Arial"/>
      <family val="2"/>
    </font>
    <font>
      <b/>
      <sz val="12"/>
      <color rgb="FF0070C0"/>
      <name val="Arial"/>
      <family val="2"/>
    </font>
    <font>
      <sz val="12"/>
      <color rgb="FF0070C0"/>
      <name val="Arial"/>
      <family val="2"/>
    </font>
    <font>
      <sz val="10"/>
      <color rgb="FF00B050"/>
      <name val="Arial"/>
      <family val="2"/>
    </font>
    <font>
      <sz val="9"/>
      <color rgb="FF00B050"/>
      <name val="Arial"/>
      <family val="2"/>
    </font>
    <font>
      <sz val="8"/>
      <color rgb="FF00B050"/>
      <name val="Arial"/>
      <family val="2"/>
    </font>
    <font>
      <b/>
      <i/>
      <sz val="12"/>
      <color theme="0"/>
      <name val="Arial"/>
      <family val="2"/>
    </font>
    <font>
      <b/>
      <sz val="11"/>
      <color theme="0"/>
      <name val="Arial"/>
      <family val="2"/>
    </font>
    <font>
      <sz val="10"/>
      <color theme="1"/>
      <name val="Arial"/>
      <family val="2"/>
    </font>
    <font>
      <b/>
      <sz val="10"/>
      <color rgb="FF0070C0"/>
      <name val="Arial"/>
      <family val="2"/>
    </font>
    <font>
      <sz val="10"/>
      <color rgb="FF0070C0"/>
      <name val="Arial"/>
      <family val="2"/>
    </font>
    <font>
      <sz val="10"/>
      <color theme="5"/>
      <name val="Arial"/>
      <family val="2"/>
    </font>
    <font>
      <b/>
      <sz val="10"/>
      <color theme="5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11"/>
      <color theme="9" tint="-0.249977111117893"/>
      <name val="Calibri"/>
      <family val="2"/>
      <scheme val="minor"/>
    </font>
    <font>
      <sz val="12"/>
      <color rgb="FF00B0F0"/>
      <name val="Calibri"/>
      <family val="2"/>
      <scheme val="minor"/>
    </font>
    <font>
      <b/>
      <sz val="12"/>
      <color theme="5"/>
      <name val="Arial"/>
      <family val="2"/>
    </font>
    <font>
      <b/>
      <sz val="12"/>
      <color theme="5"/>
      <name val="Calibri"/>
      <family val="2"/>
      <scheme val="minor"/>
    </font>
    <font>
      <sz val="10"/>
      <color theme="5" tint="-0.249977111117893"/>
      <name val="Arial"/>
      <family val="2"/>
    </font>
    <font>
      <sz val="26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rgb="FF7030A0"/>
      <name val="Arial"/>
      <family val="2"/>
    </font>
    <font>
      <sz val="10"/>
      <color rgb="FF7030A0"/>
      <name val="Arial"/>
      <family val="2"/>
    </font>
    <font>
      <b/>
      <i/>
      <sz val="10"/>
      <color theme="0"/>
      <name val="Arial"/>
      <family val="2"/>
    </font>
    <font>
      <i/>
      <sz val="12"/>
      <color rgb="FF0070C0"/>
      <name val="Arial"/>
      <family val="2"/>
    </font>
    <font>
      <b/>
      <sz val="14"/>
      <color rgb="FFFF0000"/>
      <name val="Arial"/>
      <family val="2"/>
    </font>
    <font>
      <sz val="12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4" fillId="0" borderId="0"/>
    <xf numFmtId="0" fontId="11" fillId="0" borderId="0"/>
  </cellStyleXfs>
  <cellXfs count="268">
    <xf numFmtId="0" fontId="0" fillId="0" borderId="0" xfId="0"/>
    <xf numFmtId="44" fontId="8" fillId="0" borderId="3" xfId="1" applyFont="1" applyFill="1" applyBorder="1" applyAlignment="1">
      <alignment vertical="top"/>
    </xf>
    <xf numFmtId="44" fontId="6" fillId="0" borderId="7" xfId="1" applyFont="1" applyFill="1" applyBorder="1" applyAlignment="1">
      <alignment vertical="top"/>
    </xf>
    <xf numFmtId="44" fontId="2" fillId="0" borderId="3" xfId="1" applyFont="1" applyFill="1" applyBorder="1" applyAlignment="1">
      <alignment vertical="top"/>
    </xf>
    <xf numFmtId="44" fontId="9" fillId="0" borderId="3" xfId="1" applyFont="1" applyFill="1" applyBorder="1" applyAlignment="1">
      <alignment vertical="top"/>
    </xf>
    <xf numFmtId="44" fontId="9" fillId="3" borderId="3" xfId="1" applyFont="1" applyFill="1" applyBorder="1" applyAlignment="1">
      <alignment vertical="top"/>
    </xf>
    <xf numFmtId="0" fontId="2" fillId="0" borderId="3" xfId="2" applyFont="1" applyFill="1" applyBorder="1" applyAlignment="1">
      <alignment vertical="top"/>
    </xf>
    <xf numFmtId="44" fontId="6" fillId="0" borderId="3" xfId="1" applyFont="1" applyFill="1" applyBorder="1" applyAlignment="1">
      <alignment vertical="top"/>
    </xf>
    <xf numFmtId="0" fontId="6" fillId="0" borderId="1" xfId="2" applyFont="1" applyFill="1" applyBorder="1" applyAlignment="1">
      <alignment vertical="top"/>
    </xf>
    <xf numFmtId="0" fontId="6" fillId="0" borderId="3" xfId="2" applyFont="1" applyBorder="1" applyAlignment="1">
      <alignment vertical="top"/>
    </xf>
    <xf numFmtId="44" fontId="8" fillId="0" borderId="3" xfId="1" applyFont="1" applyBorder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44" fontId="8" fillId="0" borderId="3" xfId="0" applyNumberFormat="1" applyFont="1" applyBorder="1" applyAlignment="1">
      <alignment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vertical="top"/>
    </xf>
    <xf numFmtId="0" fontId="2" fillId="0" borderId="3" xfId="2" applyFont="1" applyFill="1" applyBorder="1" applyAlignment="1">
      <alignment horizontal="left" vertical="top"/>
    </xf>
    <xf numFmtId="0" fontId="6" fillId="0" borderId="3" xfId="0" applyFont="1" applyFill="1" applyBorder="1" applyAlignment="1">
      <alignment horizontal="center" vertical="top"/>
    </xf>
    <xf numFmtId="44" fontId="6" fillId="0" borderId="3" xfId="1" applyFont="1" applyFill="1" applyBorder="1" applyAlignment="1">
      <alignment horizontal="left" vertical="top"/>
    </xf>
    <xf numFmtId="44" fontId="8" fillId="0" borderId="3" xfId="1" applyFont="1" applyFill="1" applyBorder="1" applyAlignment="1">
      <alignment horizontal="right" vertical="top"/>
    </xf>
    <xf numFmtId="44" fontId="6" fillId="0" borderId="3" xfId="1" applyFont="1" applyFill="1" applyBorder="1" applyAlignment="1">
      <alignment horizontal="right" vertical="top"/>
    </xf>
    <xf numFmtId="0" fontId="6" fillId="0" borderId="3" xfId="0" applyFont="1" applyFill="1" applyBorder="1" applyAlignment="1">
      <alignment vertical="top"/>
    </xf>
    <xf numFmtId="0" fontId="2" fillId="0" borderId="3" xfId="0" applyFont="1" applyFill="1" applyBorder="1" applyAlignment="1">
      <alignment vertical="top"/>
    </xf>
    <xf numFmtId="44" fontId="6" fillId="0" borderId="6" xfId="1" applyFont="1" applyFill="1" applyBorder="1" applyAlignment="1">
      <alignment horizontal="center" vertical="center"/>
    </xf>
    <xf numFmtId="44" fontId="6" fillId="0" borderId="7" xfId="1" applyFont="1" applyFill="1" applyBorder="1" applyAlignment="1">
      <alignment horizontal="center" vertical="center"/>
    </xf>
    <xf numFmtId="0" fontId="6" fillId="0" borderId="3" xfId="0" applyFont="1" applyBorder="1" applyAlignment="1">
      <alignment vertical="top"/>
    </xf>
    <xf numFmtId="0" fontId="15" fillId="0" borderId="0" xfId="0" applyFont="1" applyAlignment="1">
      <alignment vertical="top"/>
    </xf>
    <xf numFmtId="6" fontId="15" fillId="0" borderId="0" xfId="0" applyNumberFormat="1" applyFont="1" applyFill="1" applyAlignment="1">
      <alignment vertical="top"/>
    </xf>
    <xf numFmtId="0" fontId="16" fillId="0" borderId="0" xfId="0" applyFont="1" applyAlignment="1">
      <alignment vertical="top"/>
    </xf>
    <xf numFmtId="44" fontId="6" fillId="0" borderId="3" xfId="1" applyFont="1" applyFill="1" applyBorder="1" applyAlignment="1">
      <alignment horizontal="center" vertical="center"/>
    </xf>
    <xf numFmtId="0" fontId="18" fillId="0" borderId="3" xfId="3" applyFont="1" applyFill="1" applyBorder="1" applyAlignment="1">
      <alignment vertical="top"/>
    </xf>
    <xf numFmtId="0" fontId="2" fillId="0" borderId="3" xfId="0" applyFont="1" applyFill="1" applyBorder="1" applyAlignment="1">
      <alignment horizontal="right" vertical="top"/>
    </xf>
    <xf numFmtId="0" fontId="2" fillId="0" borderId="3" xfId="2" applyFont="1" applyFill="1" applyBorder="1" applyAlignment="1">
      <alignment horizontal="right" vertical="top"/>
    </xf>
    <xf numFmtId="0" fontId="9" fillId="0" borderId="3" xfId="0" applyFont="1" applyFill="1" applyBorder="1" applyAlignment="1">
      <alignment horizontal="right" vertical="top" wrapText="1"/>
    </xf>
    <xf numFmtId="44" fontId="18" fillId="0" borderId="0" xfId="0" applyNumberFormat="1" applyFont="1" applyAlignment="1">
      <alignment vertical="top"/>
    </xf>
    <xf numFmtId="44" fontId="6" fillId="0" borderId="3" xfId="1" applyFont="1" applyBorder="1" applyAlignment="1">
      <alignment vertical="top"/>
    </xf>
    <xf numFmtId="0" fontId="17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22" fillId="0" borderId="0" xfId="0" applyFont="1" applyAlignment="1">
      <alignment vertical="top"/>
    </xf>
    <xf numFmtId="3" fontId="7" fillId="0" borderId="0" xfId="0" applyNumberFormat="1" applyFont="1" applyAlignment="1">
      <alignment vertical="top"/>
    </xf>
    <xf numFmtId="6" fontId="18" fillId="0" borderId="0" xfId="0" applyNumberFormat="1" applyFont="1" applyAlignment="1">
      <alignment vertical="top"/>
    </xf>
    <xf numFmtId="8" fontId="6" fillId="0" borderId="3" xfId="0" applyNumberFormat="1" applyFont="1" applyFill="1" applyBorder="1" applyAlignment="1">
      <alignment vertical="top"/>
    </xf>
    <xf numFmtId="44" fontId="8" fillId="0" borderId="3" xfId="1" applyFont="1" applyFill="1" applyBorder="1" applyAlignment="1"/>
    <xf numFmtId="44" fontId="8" fillId="0" borderId="3" xfId="1" applyFont="1" applyFill="1" applyBorder="1" applyAlignment="1">
      <alignment horizontal="left" vertical="top" wrapText="1"/>
    </xf>
    <xf numFmtId="0" fontId="10" fillId="9" borderId="15" xfId="2" applyFont="1" applyFill="1" applyBorder="1" applyAlignment="1">
      <alignment horizontal="center" vertical="top" wrapText="1"/>
    </xf>
    <xf numFmtId="0" fontId="10" fillId="9" borderId="16" xfId="2" applyFont="1" applyFill="1" applyBorder="1" applyAlignment="1">
      <alignment horizontal="center" vertical="top" wrapText="1"/>
    </xf>
    <xf numFmtId="0" fontId="10" fillId="9" borderId="19" xfId="2" applyFont="1" applyFill="1" applyBorder="1" applyAlignment="1">
      <alignment horizontal="center" vertical="top" wrapText="1"/>
    </xf>
    <xf numFmtId="0" fontId="10" fillId="9" borderId="21" xfId="0" applyFont="1" applyFill="1" applyBorder="1" applyAlignment="1">
      <alignment horizontal="center" vertical="top"/>
    </xf>
    <xf numFmtId="0" fontId="10" fillId="9" borderId="22" xfId="0" applyFont="1" applyFill="1" applyBorder="1" applyAlignment="1">
      <alignment horizontal="center" vertical="top"/>
    </xf>
    <xf numFmtId="0" fontId="10" fillId="9" borderId="24" xfId="0" applyFont="1" applyFill="1" applyBorder="1" applyAlignment="1">
      <alignment horizontal="center" vertical="top"/>
    </xf>
    <xf numFmtId="0" fontId="10" fillId="9" borderId="19" xfId="0" applyFont="1" applyFill="1" applyBorder="1" applyAlignment="1">
      <alignment horizontal="center" vertical="top"/>
    </xf>
    <xf numFmtId="0" fontId="10" fillId="9" borderId="23" xfId="0" applyFont="1" applyFill="1" applyBorder="1" applyAlignment="1">
      <alignment horizontal="center" vertical="top"/>
    </xf>
    <xf numFmtId="0" fontId="10" fillId="9" borderId="12" xfId="0" applyFont="1" applyFill="1" applyBorder="1"/>
    <xf numFmtId="0" fontId="10" fillId="9" borderId="14" xfId="2" applyFont="1" applyFill="1" applyBorder="1" applyAlignment="1">
      <alignment horizontal="center" wrapText="1"/>
    </xf>
    <xf numFmtId="0" fontId="10" fillId="9" borderId="16" xfId="2" applyFont="1" applyFill="1" applyBorder="1" applyAlignment="1">
      <alignment horizontal="center" wrapText="1"/>
    </xf>
    <xf numFmtId="164" fontId="7" fillId="3" borderId="7" xfId="0" applyNumberFormat="1" applyFont="1" applyFill="1" applyBorder="1" applyAlignment="1">
      <alignment horizontal="right"/>
    </xf>
    <xf numFmtId="0" fontId="10" fillId="9" borderId="15" xfId="2" applyFont="1" applyFill="1" applyBorder="1" applyAlignment="1">
      <alignment horizontal="center" vertical="center" wrapText="1"/>
    </xf>
    <xf numFmtId="0" fontId="10" fillId="9" borderId="16" xfId="2" applyFont="1" applyFill="1" applyBorder="1" applyAlignment="1">
      <alignment horizontal="center" vertical="center" wrapText="1"/>
    </xf>
    <xf numFmtId="0" fontId="10" fillId="6" borderId="17" xfId="3" applyFont="1" applyFill="1" applyBorder="1" applyAlignment="1">
      <alignment horizontal="center" vertical="top"/>
    </xf>
    <xf numFmtId="0" fontId="10" fillId="6" borderId="18" xfId="3" applyFont="1" applyFill="1" applyBorder="1" applyAlignment="1">
      <alignment horizontal="center" vertical="top"/>
    </xf>
    <xf numFmtId="0" fontId="26" fillId="6" borderId="21" xfId="0" applyFont="1" applyFill="1" applyBorder="1" applyAlignment="1">
      <alignment horizontal="center" vertical="top"/>
    </xf>
    <xf numFmtId="0" fontId="10" fillId="6" borderId="22" xfId="0" applyFont="1" applyFill="1" applyBorder="1" applyAlignment="1">
      <alignment horizontal="center" vertical="top"/>
    </xf>
    <xf numFmtId="44" fontId="2" fillId="0" borderId="6" xfId="1" applyFont="1" applyFill="1" applyBorder="1" applyAlignment="1">
      <alignment vertical="top"/>
    </xf>
    <xf numFmtId="44" fontId="8" fillId="0" borderId="7" xfId="1" applyFont="1" applyBorder="1" applyAlignment="1">
      <alignment vertical="top"/>
    </xf>
    <xf numFmtId="0" fontId="10" fillId="9" borderId="7" xfId="2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left" vertical="top" wrapText="1"/>
    </xf>
    <xf numFmtId="0" fontId="8" fillId="0" borderId="3" xfId="0" applyFont="1" applyFill="1" applyBorder="1" applyAlignment="1">
      <alignment vertical="top" wrapText="1"/>
    </xf>
    <xf numFmtId="0" fontId="23" fillId="0" borderId="3" xfId="2" applyFont="1" applyFill="1" applyBorder="1" applyAlignment="1">
      <alignment vertical="top"/>
    </xf>
    <xf numFmtId="44" fontId="2" fillId="0" borderId="3" xfId="1" applyFont="1" applyFill="1" applyBorder="1" applyAlignment="1">
      <alignment horizontal="right" vertical="top"/>
    </xf>
    <xf numFmtId="44" fontId="18" fillId="0" borderId="0" xfId="0" applyNumberFormat="1" applyFont="1" applyAlignment="1">
      <alignment horizontal="right" vertical="top"/>
    </xf>
    <xf numFmtId="3" fontId="7" fillId="0" borderId="0" xfId="0" applyNumberFormat="1" applyFont="1" applyAlignment="1">
      <alignment horizontal="right" vertical="top"/>
    </xf>
    <xf numFmtId="6" fontId="18" fillId="0" borderId="0" xfId="0" applyNumberFormat="1" applyFont="1" applyAlignment="1">
      <alignment horizontal="right" vertical="top"/>
    </xf>
    <xf numFmtId="44" fontId="2" fillId="3" borderId="3" xfId="1" applyFont="1" applyFill="1" applyBorder="1" applyAlignment="1">
      <alignment horizontal="left" vertical="top"/>
    </xf>
    <xf numFmtId="44" fontId="6" fillId="0" borderId="3" xfId="1" applyFont="1" applyFill="1" applyBorder="1" applyAlignment="1">
      <alignment horizontal="left" vertical="top" wrapText="1"/>
    </xf>
    <xf numFmtId="44" fontId="9" fillId="0" borderId="3" xfId="1" applyFont="1" applyFill="1" applyBorder="1" applyAlignment="1">
      <alignment horizontal="left" vertical="top" wrapText="1"/>
    </xf>
    <xf numFmtId="44" fontId="2" fillId="0" borderId="3" xfId="1" applyFont="1" applyFill="1" applyBorder="1" applyAlignment="1">
      <alignment horizontal="left" vertical="top" wrapText="1"/>
    </xf>
    <xf numFmtId="44" fontId="8" fillId="0" borderId="3" xfId="1" applyFont="1" applyFill="1" applyBorder="1" applyAlignment="1">
      <alignment horizontal="left" vertical="top"/>
    </xf>
    <xf numFmtId="44" fontId="7" fillId="0" borderId="3" xfId="1" applyFont="1" applyFill="1" applyBorder="1" applyAlignment="1">
      <alignment horizontal="left" vertical="top"/>
    </xf>
    <xf numFmtId="44" fontId="2" fillId="0" borderId="3" xfId="1" applyFont="1" applyFill="1" applyBorder="1" applyAlignment="1">
      <alignment horizontal="left" vertical="top"/>
    </xf>
    <xf numFmtId="44" fontId="19" fillId="0" borderId="3" xfId="1" applyFont="1" applyFill="1" applyBorder="1" applyAlignment="1">
      <alignment horizontal="left" vertical="top" wrapText="1"/>
    </xf>
    <xf numFmtId="44" fontId="14" fillId="0" borderId="3" xfId="1" applyFont="1" applyFill="1" applyBorder="1" applyAlignment="1">
      <alignment horizontal="left" vertical="top" wrapText="1"/>
    </xf>
    <xf numFmtId="44" fontId="20" fillId="0" borderId="3" xfId="1" applyFont="1" applyFill="1" applyBorder="1" applyAlignment="1">
      <alignment horizontal="left" vertical="top"/>
    </xf>
    <xf numFmtId="44" fontId="14" fillId="0" borderId="3" xfId="1" applyFont="1" applyFill="1" applyBorder="1" applyAlignment="1">
      <alignment horizontal="left" vertical="top"/>
    </xf>
    <xf numFmtId="44" fontId="19" fillId="0" borderId="3" xfId="1" applyFont="1" applyFill="1" applyBorder="1" applyAlignment="1">
      <alignment horizontal="left" vertical="top"/>
    </xf>
    <xf numFmtId="44" fontId="22" fillId="0" borderId="3" xfId="1" applyFont="1" applyFill="1" applyBorder="1" applyAlignment="1">
      <alignment horizontal="left" vertical="top" wrapText="1"/>
    </xf>
    <xf numFmtId="44" fontId="22" fillId="0" borderId="3" xfId="1" applyFont="1" applyFill="1" applyBorder="1" applyAlignment="1">
      <alignment horizontal="left" vertical="top"/>
    </xf>
    <xf numFmtId="0" fontId="2" fillId="0" borderId="3" xfId="2" applyFont="1" applyBorder="1" applyAlignment="1">
      <alignment vertical="top"/>
    </xf>
    <xf numFmtId="0" fontId="6" fillId="0" borderId="3" xfId="2" applyFont="1" applyFill="1" applyBorder="1" applyAlignment="1">
      <alignment vertical="top"/>
    </xf>
    <xf numFmtId="0" fontId="6" fillId="0" borderId="3" xfId="2" applyFont="1" applyFill="1" applyBorder="1" applyAlignment="1">
      <alignment horizontal="left" vertical="top"/>
    </xf>
    <xf numFmtId="0" fontId="2" fillId="0" borderId="3" xfId="0" applyFont="1" applyFill="1" applyBorder="1" applyAlignment="1">
      <alignment horizontal="center" vertical="top"/>
    </xf>
    <xf numFmtId="0" fontId="6" fillId="0" borderId="3" xfId="2" applyFont="1" applyFill="1" applyBorder="1" applyAlignment="1">
      <alignment horizontal="left" vertical="top"/>
    </xf>
    <xf numFmtId="0" fontId="0" fillId="0" borderId="0" xfId="0"/>
    <xf numFmtId="44" fontId="8" fillId="0" borderId="3" xfId="1" applyFont="1" applyFill="1" applyBorder="1" applyAlignment="1">
      <alignment horizontal="right"/>
    </xf>
    <xf numFmtId="0" fontId="6" fillId="0" borderId="4" xfId="0" applyFont="1" applyBorder="1"/>
    <xf numFmtId="44" fontId="6" fillId="0" borderId="3" xfId="1" applyFont="1" applyFill="1" applyBorder="1" applyAlignment="1">
      <alignment horizontal="center"/>
    </xf>
    <xf numFmtId="0" fontId="3" fillId="0" borderId="10" xfId="0" applyFont="1" applyBorder="1"/>
    <xf numFmtId="0" fontId="12" fillId="0" borderId="0" xfId="0" applyFont="1"/>
    <xf numFmtId="44" fontId="13" fillId="0" borderId="3" xfId="1" applyFont="1" applyFill="1" applyBorder="1" applyAlignment="1">
      <alignment horizontal="right"/>
    </xf>
    <xf numFmtId="44" fontId="6" fillId="0" borderId="3" xfId="1" applyFont="1" applyFill="1" applyBorder="1" applyAlignment="1">
      <alignment vertical="top"/>
    </xf>
    <xf numFmtId="0" fontId="3" fillId="0" borderId="0" xfId="0" applyFont="1" applyAlignment="1">
      <alignment vertical="top"/>
    </xf>
    <xf numFmtId="0" fontId="10" fillId="9" borderId="14" xfId="2" applyFont="1" applyFill="1" applyBorder="1" applyAlignment="1">
      <alignment horizontal="center" wrapText="1"/>
    </xf>
    <xf numFmtId="0" fontId="10" fillId="9" borderId="16" xfId="2" applyFont="1" applyFill="1" applyBorder="1" applyAlignment="1">
      <alignment horizontal="center" wrapText="1"/>
    </xf>
    <xf numFmtId="0" fontId="10" fillId="9" borderId="12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left"/>
    </xf>
    <xf numFmtId="0" fontId="5" fillId="0" borderId="4" xfId="0" applyFont="1" applyFill="1" applyBorder="1" applyAlignment="1">
      <alignment horizontal="center"/>
    </xf>
    <xf numFmtId="0" fontId="21" fillId="0" borderId="4" xfId="0" applyFont="1" applyBorder="1" applyAlignment="1">
      <alignment horizontal="left"/>
    </xf>
    <xf numFmtId="44" fontId="22" fillId="0" borderId="3" xfId="1" applyFont="1" applyFill="1" applyBorder="1" applyAlignment="1">
      <alignment horizontal="right"/>
    </xf>
    <xf numFmtId="0" fontId="9" fillId="0" borderId="4" xfId="0" applyFont="1" applyBorder="1" applyAlignment="1">
      <alignment horizontal="left"/>
    </xf>
    <xf numFmtId="0" fontId="10" fillId="9" borderId="12" xfId="0" applyFont="1" applyFill="1" applyBorder="1" applyAlignment="1">
      <alignment wrapText="1"/>
    </xf>
    <xf numFmtId="41" fontId="2" fillId="11" borderId="8" xfId="0" applyNumberFormat="1" applyFont="1" applyFill="1" applyBorder="1"/>
    <xf numFmtId="44" fontId="21" fillId="10" borderId="3" xfId="1" applyFont="1" applyFill="1" applyBorder="1" applyAlignment="1">
      <alignment horizontal="right" vertical="center"/>
    </xf>
    <xf numFmtId="44" fontId="21" fillId="10" borderId="3" xfId="1" applyFont="1" applyFill="1" applyBorder="1" applyAlignment="1">
      <alignment horizontal="center"/>
    </xf>
    <xf numFmtId="0" fontId="3" fillId="0" borderId="0" xfId="0" applyFont="1"/>
    <xf numFmtId="44" fontId="2" fillId="0" borderId="5" xfId="0" applyNumberFormat="1" applyFont="1" applyFill="1" applyBorder="1"/>
    <xf numFmtId="0" fontId="35" fillId="0" borderId="0" xfId="0" applyFont="1"/>
    <xf numFmtId="0" fontId="36" fillId="0" borderId="0" xfId="0" applyFont="1" applyAlignment="1">
      <alignment vertical="top"/>
    </xf>
    <xf numFmtId="0" fontId="8" fillId="0" borderId="3" xfId="0" applyFont="1" applyBorder="1" applyAlignment="1">
      <alignment vertical="top"/>
    </xf>
    <xf numFmtId="44" fontId="7" fillId="0" borderId="3" xfId="1" applyFont="1" applyFill="1" applyBorder="1" applyAlignment="1">
      <alignment vertical="top"/>
    </xf>
    <xf numFmtId="44" fontId="6" fillId="0" borderId="6" xfId="1" applyFont="1" applyFill="1" applyBorder="1" applyAlignment="1">
      <alignment vertical="top"/>
    </xf>
    <xf numFmtId="44" fontId="8" fillId="0" borderId="7" xfId="1" applyFont="1" applyFill="1" applyBorder="1" applyAlignment="1">
      <alignment vertical="top"/>
    </xf>
    <xf numFmtId="44" fontId="8" fillId="0" borderId="6" xfId="1" applyFont="1" applyFill="1" applyBorder="1" applyAlignment="1">
      <alignment vertical="top"/>
    </xf>
    <xf numFmtId="0" fontId="10" fillId="9" borderId="20" xfId="0" applyFont="1" applyFill="1" applyBorder="1" applyAlignment="1">
      <alignment horizontal="center" vertical="top"/>
    </xf>
    <xf numFmtId="0" fontId="10" fillId="9" borderId="8" xfId="2" applyFont="1" applyFill="1" applyBorder="1" applyAlignment="1">
      <alignment horizontal="center" vertical="top" wrapText="1"/>
    </xf>
    <xf numFmtId="0" fontId="10" fillId="9" borderId="27" xfId="0" applyFont="1" applyFill="1" applyBorder="1" applyAlignment="1">
      <alignment horizontal="center" vertical="top"/>
    </xf>
    <xf numFmtId="0" fontId="10" fillId="9" borderId="9" xfId="0" applyFont="1" applyFill="1" applyBorder="1" applyAlignment="1">
      <alignment horizontal="center" vertical="top"/>
    </xf>
    <xf numFmtId="0" fontId="10" fillId="9" borderId="6" xfId="2" applyFont="1" applyFill="1" applyBorder="1" applyAlignment="1">
      <alignment horizontal="center" vertical="top" wrapText="1"/>
    </xf>
    <xf numFmtId="44" fontId="8" fillId="0" borderId="3" xfId="0" applyNumberFormat="1" applyFont="1" applyFill="1" applyBorder="1" applyAlignment="1">
      <alignment vertical="top"/>
    </xf>
    <xf numFmtId="44" fontId="8" fillId="10" borderId="3" xfId="1" applyFont="1" applyFill="1" applyBorder="1" applyAlignment="1"/>
    <xf numFmtId="44" fontId="8" fillId="10" borderId="3" xfId="1" applyFont="1" applyFill="1" applyBorder="1" applyAlignment="1">
      <alignment horizontal="left" vertical="top" wrapText="1"/>
    </xf>
    <xf numFmtId="0" fontId="10" fillId="9" borderId="14" xfId="2" applyFont="1" applyFill="1" applyBorder="1" applyAlignment="1">
      <alignment horizontal="center" vertical="center" wrapText="1"/>
    </xf>
    <xf numFmtId="0" fontId="0" fillId="0" borderId="28" xfId="0" applyBorder="1"/>
    <xf numFmtId="44" fontId="23" fillId="0" borderId="3" xfId="1" applyFont="1" applyFill="1" applyBorder="1" applyAlignment="1">
      <alignment horizontal="left" vertical="top"/>
    </xf>
    <xf numFmtId="44" fontId="31" fillId="0" borderId="3" xfId="1" applyFont="1" applyFill="1" applyBorder="1" applyAlignment="1">
      <alignment horizontal="left" vertical="top"/>
    </xf>
    <xf numFmtId="44" fontId="11" fillId="0" borderId="3" xfId="1" applyFont="1" applyFill="1" applyBorder="1" applyAlignment="1">
      <alignment horizontal="left" vertical="top"/>
    </xf>
    <xf numFmtId="44" fontId="28" fillId="0" borderId="3" xfId="1" applyFont="1" applyFill="1" applyBorder="1" applyAlignment="1">
      <alignment horizontal="left" vertical="top"/>
    </xf>
    <xf numFmtId="44" fontId="23" fillId="0" borderId="3" xfId="1" applyFont="1" applyFill="1" applyBorder="1" applyAlignment="1">
      <alignment horizontal="left" vertical="top" wrapText="1"/>
    </xf>
    <xf numFmtId="0" fontId="23" fillId="0" borderId="3" xfId="0" applyFont="1" applyBorder="1" applyAlignment="1">
      <alignment vertical="top"/>
    </xf>
    <xf numFmtId="0" fontId="23" fillId="0" borderId="0" xfId="0" applyFont="1" applyAlignment="1">
      <alignment vertical="top"/>
    </xf>
    <xf numFmtId="44" fontId="19" fillId="0" borderId="3" xfId="1" applyFont="1" applyFill="1" applyBorder="1" applyAlignment="1">
      <alignment vertical="top"/>
    </xf>
    <xf numFmtId="0" fontId="37" fillId="0" borderId="0" xfId="0" applyFont="1" applyAlignment="1">
      <alignment vertical="top"/>
    </xf>
    <xf numFmtId="0" fontId="38" fillId="0" borderId="0" xfId="0" applyFont="1" applyAlignment="1">
      <alignment vertical="top"/>
    </xf>
    <xf numFmtId="44" fontId="28" fillId="0" borderId="3" xfId="1" applyFont="1" applyFill="1" applyBorder="1" applyAlignment="1">
      <alignment horizontal="left" vertical="top" wrapText="1"/>
    </xf>
    <xf numFmtId="44" fontId="6" fillId="10" borderId="3" xfId="1" applyFont="1" applyFill="1" applyBorder="1" applyAlignment="1">
      <alignment horizontal="left" vertical="top" wrapText="1"/>
    </xf>
    <xf numFmtId="44" fontId="39" fillId="0" borderId="3" xfId="1" applyFont="1" applyFill="1" applyBorder="1" applyAlignment="1">
      <alignment horizontal="left" vertical="top" wrapText="1"/>
    </xf>
    <xf numFmtId="44" fontId="11" fillId="0" borderId="3" xfId="1" applyFont="1" applyFill="1" applyBorder="1" applyAlignment="1">
      <alignment horizontal="left" vertical="top" wrapText="1"/>
    </xf>
    <xf numFmtId="44" fontId="11" fillId="0" borderId="3" xfId="0" applyNumberFormat="1" applyFont="1" applyBorder="1" applyAlignment="1">
      <alignment vertical="top"/>
    </xf>
    <xf numFmtId="44" fontId="11" fillId="0" borderId="3" xfId="0" applyNumberFormat="1" applyFont="1" applyFill="1" applyBorder="1" applyAlignment="1">
      <alignment vertical="top"/>
    </xf>
    <xf numFmtId="44" fontId="11" fillId="0" borderId="3" xfId="1" applyFont="1" applyFill="1" applyBorder="1" applyAlignment="1">
      <alignment vertical="top"/>
    </xf>
    <xf numFmtId="44" fontId="28" fillId="0" borderId="3" xfId="0" applyNumberFormat="1" applyFont="1" applyBorder="1" applyAlignment="1">
      <alignment vertical="top"/>
    </xf>
    <xf numFmtId="44" fontId="3" fillId="0" borderId="3" xfId="1" applyFont="1" applyBorder="1" applyAlignment="1">
      <alignment vertical="top"/>
    </xf>
    <xf numFmtId="44" fontId="8" fillId="0" borderId="3" xfId="1" applyFont="1" applyBorder="1" applyAlignment="1"/>
    <xf numFmtId="0" fontId="40" fillId="0" borderId="0" xfId="0" applyFont="1" applyBorder="1" applyAlignment="1">
      <alignment horizontal="center"/>
    </xf>
    <xf numFmtId="0" fontId="10" fillId="6" borderId="30" xfId="0" applyFont="1" applyFill="1" applyBorder="1" applyAlignment="1">
      <alignment horizontal="center" vertical="top" wrapText="1"/>
    </xf>
    <xf numFmtId="0" fontId="10" fillId="6" borderId="27" xfId="0" applyFont="1" applyFill="1" applyBorder="1" applyAlignment="1">
      <alignment horizontal="center" vertical="top" wrapText="1"/>
    </xf>
    <xf numFmtId="0" fontId="10" fillId="6" borderId="6" xfId="0" applyFont="1" applyFill="1" applyBorder="1" applyAlignment="1">
      <alignment horizontal="center" vertical="top" wrapText="1"/>
    </xf>
    <xf numFmtId="0" fontId="10" fillId="6" borderId="7" xfId="0" applyFont="1" applyFill="1" applyBorder="1" applyAlignment="1">
      <alignment horizontal="center" vertical="top" wrapText="1"/>
    </xf>
    <xf numFmtId="0" fontId="27" fillId="6" borderId="7" xfId="0" applyFont="1" applyFill="1" applyBorder="1" applyAlignment="1">
      <alignment horizontal="center" vertical="top" wrapText="1"/>
    </xf>
    <xf numFmtId="44" fontId="28" fillId="0" borderId="3" xfId="1" applyFont="1" applyBorder="1" applyAlignment="1">
      <alignment vertical="top"/>
    </xf>
    <xf numFmtId="0" fontId="39" fillId="0" borderId="0" xfId="0" applyFont="1" applyAlignment="1">
      <alignment vertical="top"/>
    </xf>
    <xf numFmtId="0" fontId="30" fillId="0" borderId="0" xfId="0" applyFont="1" applyAlignment="1">
      <alignment vertical="top"/>
    </xf>
    <xf numFmtId="0" fontId="13" fillId="0" borderId="0" xfId="0" applyFont="1" applyAlignment="1">
      <alignment vertical="top"/>
    </xf>
    <xf numFmtId="44" fontId="9" fillId="0" borderId="5" xfId="1" applyFont="1" applyFill="1" applyBorder="1" applyAlignment="1">
      <alignment horizontal="left" vertical="top" wrapText="1"/>
    </xf>
    <xf numFmtId="44" fontId="8" fillId="0" borderId="5" xfId="1" applyFont="1" applyBorder="1" applyAlignment="1">
      <alignment vertical="top"/>
    </xf>
    <xf numFmtId="0" fontId="10" fillId="9" borderId="31" xfId="2" applyFont="1" applyFill="1" applyBorder="1" applyAlignment="1">
      <alignment horizontal="center" wrapText="1"/>
    </xf>
    <xf numFmtId="44" fontId="6" fillId="0" borderId="6" xfId="1" applyFont="1" applyFill="1" applyBorder="1" applyAlignment="1">
      <alignment horizontal="left" vertical="top" wrapText="1"/>
    </xf>
    <xf numFmtId="0" fontId="0" fillId="0" borderId="3" xfId="0" applyBorder="1"/>
    <xf numFmtId="44" fontId="8" fillId="10" borderId="3" xfId="1" applyFont="1" applyFill="1" applyBorder="1" applyAlignment="1">
      <alignment vertical="top"/>
    </xf>
    <xf numFmtId="44" fontId="8" fillId="10" borderId="3" xfId="0" applyNumberFormat="1" applyFont="1" applyFill="1" applyBorder="1" applyAlignment="1">
      <alignment vertical="top"/>
    </xf>
    <xf numFmtId="44" fontId="6" fillId="10" borderId="3" xfId="1" applyFont="1" applyFill="1" applyBorder="1" applyAlignment="1">
      <alignment horizontal="left" vertical="top"/>
    </xf>
    <xf numFmtId="44" fontId="9" fillId="10" borderId="3" xfId="1" applyFont="1" applyFill="1" applyBorder="1" applyAlignment="1">
      <alignment horizontal="center"/>
    </xf>
    <xf numFmtId="0" fontId="41" fillId="0" borderId="4" xfId="0" applyFont="1" applyBorder="1" applyAlignment="1">
      <alignment horizontal="left" wrapText="1"/>
    </xf>
    <xf numFmtId="41" fontId="2" fillId="0" borderId="4" xfId="0" applyNumberFormat="1" applyFont="1" applyBorder="1"/>
    <xf numFmtId="44" fontId="21" fillId="0" borderId="1" xfId="0" applyNumberFormat="1" applyFont="1" applyFill="1" applyBorder="1"/>
    <xf numFmtId="44" fontId="21" fillId="0" borderId="2" xfId="0" applyNumberFormat="1" applyFont="1" applyFill="1" applyBorder="1"/>
    <xf numFmtId="44" fontId="21" fillId="0" borderId="5" xfId="0" applyNumberFormat="1" applyFont="1" applyFill="1" applyBorder="1"/>
    <xf numFmtId="44" fontId="9" fillId="11" borderId="3" xfId="1" applyFont="1" applyFill="1" applyBorder="1" applyAlignment="1">
      <alignment horizontal="right" vertical="center"/>
    </xf>
    <xf numFmtId="44" fontId="9" fillId="12" borderId="3" xfId="1" applyFont="1" applyFill="1" applyBorder="1" applyAlignment="1">
      <alignment horizontal="right" vertical="center"/>
    </xf>
    <xf numFmtId="44" fontId="9" fillId="10" borderId="3" xfId="1" applyFont="1" applyFill="1" applyBorder="1" applyAlignment="1">
      <alignment horizontal="right" vertical="center"/>
    </xf>
    <xf numFmtId="44" fontId="9" fillId="11" borderId="3" xfId="1" applyFont="1" applyFill="1" applyBorder="1" applyAlignment="1">
      <alignment horizontal="center"/>
    </xf>
    <xf numFmtId="44" fontId="9" fillId="12" borderId="3" xfId="1" applyFont="1" applyFill="1" applyBorder="1" applyAlignment="1">
      <alignment horizontal="center"/>
    </xf>
    <xf numFmtId="44" fontId="8" fillId="3" borderId="3" xfId="1" applyFont="1" applyFill="1" applyBorder="1" applyAlignment="1">
      <alignment horizontal="right"/>
    </xf>
    <xf numFmtId="0" fontId="21" fillId="0" borderId="3" xfId="0" applyFont="1" applyFill="1" applyBorder="1" applyAlignment="1">
      <alignment horizontal="left" vertical="center" wrapText="1"/>
    </xf>
    <xf numFmtId="0" fontId="21" fillId="11" borderId="3" xfId="0" applyFont="1" applyFill="1" applyBorder="1" applyAlignment="1">
      <alignment horizontal="left" vertical="center" wrapText="1"/>
    </xf>
    <xf numFmtId="44" fontId="8" fillId="10" borderId="3" xfId="1" applyFont="1" applyFill="1" applyBorder="1" applyAlignment="1">
      <alignment horizontal="right"/>
    </xf>
    <xf numFmtId="44" fontId="42" fillId="0" borderId="3" xfId="1" applyFont="1" applyFill="1" applyBorder="1" applyAlignment="1">
      <alignment horizontal="left" vertical="top" wrapText="1"/>
    </xf>
    <xf numFmtId="44" fontId="42" fillId="0" borderId="3" xfId="1" applyFont="1" applyFill="1" applyBorder="1" applyAlignment="1">
      <alignment horizontal="left" vertical="top"/>
    </xf>
    <xf numFmtId="44" fontId="21" fillId="0" borderId="3" xfId="1" applyFont="1" applyBorder="1" applyAlignment="1">
      <alignment vertical="top"/>
    </xf>
    <xf numFmtId="44" fontId="21" fillId="0" borderId="3" xfId="1" applyFont="1" applyFill="1" applyBorder="1" applyAlignment="1">
      <alignment horizontal="left" vertical="top"/>
    </xf>
    <xf numFmtId="44" fontId="45" fillId="0" borderId="3" xfId="1" applyFont="1" applyFill="1" applyBorder="1" applyAlignment="1">
      <alignment horizontal="right"/>
    </xf>
    <xf numFmtId="0" fontId="47" fillId="0" borderId="0" xfId="0" applyFont="1" applyBorder="1"/>
    <xf numFmtId="0" fontId="47" fillId="0" borderId="0" xfId="0" applyFont="1" applyBorder="1" applyAlignment="1">
      <alignment horizontal="left" wrapText="1"/>
    </xf>
    <xf numFmtId="0" fontId="47" fillId="0" borderId="4" xfId="0" applyFont="1" applyBorder="1" applyAlignment="1">
      <alignment horizontal="left" wrapText="1"/>
    </xf>
    <xf numFmtId="0" fontId="47" fillId="0" borderId="0" xfId="0" applyFont="1" applyBorder="1" applyAlignment="1">
      <alignment horizontal="left" wrapText="1"/>
    </xf>
    <xf numFmtId="0" fontId="6" fillId="0" borderId="3" xfId="2" applyFont="1" applyFill="1" applyBorder="1" applyAlignment="1">
      <alignment vertical="top"/>
    </xf>
    <xf numFmtId="0" fontId="2" fillId="2" borderId="1" xfId="2" applyFont="1" applyFill="1" applyBorder="1" applyAlignment="1">
      <alignment horizontal="left" vertical="top"/>
    </xf>
    <xf numFmtId="0" fontId="2" fillId="2" borderId="2" xfId="2" applyFont="1" applyFill="1" applyBorder="1" applyAlignment="1">
      <alignment horizontal="left" vertical="top"/>
    </xf>
    <xf numFmtId="0" fontId="2" fillId="2" borderId="5" xfId="2" applyFont="1" applyFill="1" applyBorder="1" applyAlignment="1">
      <alignment horizontal="left" vertical="top"/>
    </xf>
    <xf numFmtId="0" fontId="10" fillId="9" borderId="12" xfId="2" applyFont="1" applyFill="1" applyBorder="1" applyAlignment="1">
      <alignment horizontal="center" vertical="top" wrapText="1"/>
    </xf>
    <xf numFmtId="0" fontId="10" fillId="9" borderId="13" xfId="2" applyFont="1" applyFill="1" applyBorder="1" applyAlignment="1">
      <alignment horizontal="center" vertical="top" wrapText="1"/>
    </xf>
    <xf numFmtId="0" fontId="6" fillId="0" borderId="1" xfId="2" applyFont="1" applyFill="1" applyBorder="1" applyAlignment="1">
      <alignment vertical="top" wrapText="1"/>
    </xf>
    <xf numFmtId="0" fontId="6" fillId="0" borderId="5" xfId="2" applyFont="1" applyFill="1" applyBorder="1" applyAlignment="1">
      <alignment vertical="top" wrapText="1"/>
    </xf>
    <xf numFmtId="0" fontId="6" fillId="0" borderId="3" xfId="2" applyFont="1" applyFill="1" applyBorder="1" applyAlignment="1">
      <alignment vertical="top" wrapText="1"/>
    </xf>
    <xf numFmtId="0" fontId="6" fillId="0" borderId="3" xfId="3" applyFont="1" applyFill="1" applyBorder="1" applyAlignment="1">
      <alignment vertical="top"/>
    </xf>
    <xf numFmtId="37" fontId="11" fillId="0" borderId="1" xfId="0" applyNumberFormat="1" applyFont="1" applyFill="1" applyBorder="1" applyAlignment="1" applyProtection="1">
      <alignment horizontal="left" vertical="top" wrapText="1"/>
    </xf>
    <xf numFmtId="37" fontId="11" fillId="0" borderId="5" xfId="0" applyNumberFormat="1" applyFont="1" applyFill="1" applyBorder="1" applyAlignment="1" applyProtection="1">
      <alignment horizontal="left" vertical="top" wrapText="1"/>
    </xf>
    <xf numFmtId="0" fontId="2" fillId="2" borderId="25" xfId="2" applyFont="1" applyFill="1" applyBorder="1" applyAlignment="1">
      <alignment horizontal="left" vertical="top"/>
    </xf>
    <xf numFmtId="0" fontId="2" fillId="2" borderId="26" xfId="2" applyFont="1" applyFill="1" applyBorder="1" applyAlignment="1">
      <alignment horizontal="left" vertical="top"/>
    </xf>
    <xf numFmtId="0" fontId="2" fillId="0" borderId="3" xfId="2" applyFont="1" applyBorder="1" applyAlignment="1">
      <alignment vertical="top"/>
    </xf>
    <xf numFmtId="0" fontId="11" fillId="0" borderId="3" xfId="2" applyFont="1" applyFill="1" applyBorder="1" applyAlignment="1">
      <alignment vertical="top" wrapText="1"/>
    </xf>
    <xf numFmtId="0" fontId="6" fillId="0" borderId="3" xfId="2" applyFont="1" applyFill="1" applyBorder="1" applyAlignment="1">
      <alignment horizontal="left" vertical="top"/>
    </xf>
    <xf numFmtId="0" fontId="6" fillId="0" borderId="1" xfId="2" applyFont="1" applyFill="1" applyBorder="1" applyAlignment="1">
      <alignment horizontal="left" vertical="top"/>
    </xf>
    <xf numFmtId="0" fontId="6" fillId="0" borderId="5" xfId="2" applyFont="1" applyFill="1" applyBorder="1" applyAlignment="1">
      <alignment horizontal="left" vertical="top"/>
    </xf>
    <xf numFmtId="0" fontId="2" fillId="2" borderId="1" xfId="2" applyFont="1" applyFill="1" applyBorder="1" applyAlignment="1">
      <alignment horizontal="center" vertical="top"/>
    </xf>
    <xf numFmtId="0" fontId="2" fillId="2" borderId="2" xfId="2" applyFont="1" applyFill="1" applyBorder="1" applyAlignment="1">
      <alignment horizontal="center" vertical="top"/>
    </xf>
    <xf numFmtId="0" fontId="2" fillId="2" borderId="5" xfId="2" applyFont="1" applyFill="1" applyBorder="1" applyAlignment="1">
      <alignment horizontal="center" vertical="top"/>
    </xf>
    <xf numFmtId="0" fontId="6" fillId="0" borderId="3" xfId="0" applyFont="1" applyFill="1" applyBorder="1" applyAlignment="1">
      <alignment horizontal="left" vertical="top" wrapText="1"/>
    </xf>
    <xf numFmtId="37" fontId="6" fillId="4" borderId="1" xfId="0" applyNumberFormat="1" applyFont="1" applyFill="1" applyBorder="1" applyAlignment="1" applyProtection="1">
      <alignment horizontal="left" vertical="top"/>
    </xf>
    <xf numFmtId="37" fontId="6" fillId="4" borderId="2" xfId="0" applyNumberFormat="1" applyFont="1" applyFill="1" applyBorder="1" applyAlignment="1" applyProtection="1">
      <alignment horizontal="left" vertical="top"/>
    </xf>
    <xf numFmtId="37" fontId="6" fillId="4" borderId="5" xfId="0" applyNumberFormat="1" applyFont="1" applyFill="1" applyBorder="1" applyAlignment="1" applyProtection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2" fillId="2" borderId="2" xfId="0" applyFont="1" applyFill="1" applyBorder="1" applyAlignment="1">
      <alignment horizontal="left" vertical="top"/>
    </xf>
    <xf numFmtId="0" fontId="2" fillId="2" borderId="5" xfId="0" applyFont="1" applyFill="1" applyBorder="1" applyAlignment="1">
      <alignment horizontal="left" vertical="top"/>
    </xf>
    <xf numFmtId="0" fontId="6" fillId="0" borderId="3" xfId="0" applyFont="1" applyFill="1" applyBorder="1" applyAlignment="1">
      <alignment horizontal="left" vertical="top"/>
    </xf>
    <xf numFmtId="0" fontId="10" fillId="9" borderId="17" xfId="3" applyFont="1" applyFill="1" applyBorder="1" applyAlignment="1">
      <alignment horizontal="left" vertical="top"/>
    </xf>
    <xf numFmtId="0" fontId="10" fillId="9" borderId="18" xfId="3" applyFont="1" applyFill="1" applyBorder="1" applyAlignment="1">
      <alignment horizontal="left" vertical="top"/>
    </xf>
    <xf numFmtId="0" fontId="6" fillId="0" borderId="1" xfId="0" applyFont="1" applyFill="1" applyBorder="1" applyAlignment="1">
      <alignment horizontal="left" vertical="top" wrapText="1"/>
    </xf>
    <xf numFmtId="0" fontId="6" fillId="0" borderId="5" xfId="0" applyFont="1" applyFill="1" applyBorder="1" applyAlignment="1">
      <alignment horizontal="left" vertical="top" wrapText="1"/>
    </xf>
    <xf numFmtId="0" fontId="8" fillId="0" borderId="3" xfId="0" applyFont="1" applyFill="1" applyBorder="1" applyAlignment="1">
      <alignment horizontal="left" vertical="top"/>
    </xf>
    <xf numFmtId="0" fontId="6" fillId="0" borderId="7" xfId="2" applyFont="1" applyFill="1" applyBorder="1" applyAlignment="1">
      <alignment horizontal="left" vertical="top" wrapText="1"/>
    </xf>
    <xf numFmtId="37" fontId="6" fillId="0" borderId="3" xfId="0" applyNumberFormat="1" applyFont="1" applyFill="1" applyBorder="1" applyAlignment="1" applyProtection="1">
      <alignment horizontal="left" vertical="top" wrapText="1"/>
    </xf>
    <xf numFmtId="37" fontId="6" fillId="0" borderId="3" xfId="0" applyNumberFormat="1" applyFont="1" applyFill="1" applyBorder="1" applyAlignment="1" applyProtection="1">
      <alignment horizontal="left" vertical="top"/>
    </xf>
    <xf numFmtId="0" fontId="2" fillId="5" borderId="4" xfId="0" applyFont="1" applyFill="1" applyBorder="1" applyAlignment="1">
      <alignment horizontal="left" vertical="top"/>
    </xf>
    <xf numFmtId="0" fontId="2" fillId="5" borderId="0" xfId="0" applyFont="1" applyFill="1" applyBorder="1" applyAlignment="1">
      <alignment horizontal="left" vertical="top"/>
    </xf>
    <xf numFmtId="0" fontId="2" fillId="5" borderId="28" xfId="0" applyFont="1" applyFill="1" applyBorder="1" applyAlignment="1">
      <alignment horizontal="left" vertical="top"/>
    </xf>
    <xf numFmtId="0" fontId="6" fillId="0" borderId="1" xfId="0" applyFont="1" applyFill="1" applyBorder="1" applyAlignment="1">
      <alignment horizontal="left" vertical="top"/>
    </xf>
    <xf numFmtId="0" fontId="6" fillId="0" borderId="5" xfId="0" applyFont="1" applyFill="1" applyBorder="1" applyAlignment="1">
      <alignment horizontal="left" vertical="top"/>
    </xf>
    <xf numFmtId="41" fontId="2" fillId="0" borderId="1" xfId="0" applyNumberFormat="1" applyFont="1" applyFill="1" applyBorder="1" applyAlignment="1">
      <alignment vertical="top"/>
    </xf>
    <xf numFmtId="41" fontId="2" fillId="0" borderId="5" xfId="0" applyNumberFormat="1" applyFont="1" applyFill="1" applyBorder="1" applyAlignment="1">
      <alignment vertical="top"/>
    </xf>
    <xf numFmtId="0" fontId="2" fillId="2" borderId="4" xfId="0" applyFont="1" applyFill="1" applyBorder="1" applyAlignment="1">
      <alignment horizontal="left" vertical="top"/>
    </xf>
    <xf numFmtId="0" fontId="2" fillId="2" borderId="0" xfId="0" applyFont="1" applyFill="1" applyBorder="1" applyAlignment="1">
      <alignment horizontal="left" vertical="top"/>
    </xf>
    <xf numFmtId="0" fontId="2" fillId="2" borderId="28" xfId="0" applyFont="1" applyFill="1" applyBorder="1" applyAlignment="1">
      <alignment horizontal="left" vertical="top"/>
    </xf>
    <xf numFmtId="0" fontId="8" fillId="0" borderId="3" xfId="0" applyFont="1" applyFill="1" applyBorder="1" applyAlignment="1">
      <alignment vertical="top" wrapText="1"/>
    </xf>
    <xf numFmtId="0" fontId="23" fillId="0" borderId="1" xfId="0" applyFont="1" applyFill="1" applyBorder="1" applyAlignment="1">
      <alignment horizontal="left" vertical="top" wrapText="1"/>
    </xf>
    <xf numFmtId="0" fontId="23" fillId="0" borderId="5" xfId="0" applyFont="1" applyFill="1" applyBorder="1" applyAlignment="1">
      <alignment horizontal="left" vertical="top" wrapText="1"/>
    </xf>
    <xf numFmtId="0" fontId="9" fillId="2" borderId="25" xfId="0" applyFont="1" applyFill="1" applyBorder="1" applyAlignment="1">
      <alignment horizontal="left" vertical="top"/>
    </xf>
    <xf numFmtId="0" fontId="9" fillId="2" borderId="26" xfId="0" applyFont="1" applyFill="1" applyBorder="1" applyAlignment="1">
      <alignment horizontal="left" vertical="top"/>
    </xf>
    <xf numFmtId="0" fontId="9" fillId="2" borderId="11" xfId="0" applyFont="1" applyFill="1" applyBorder="1" applyAlignment="1">
      <alignment horizontal="left" vertical="top"/>
    </xf>
    <xf numFmtId="0" fontId="9" fillId="2" borderId="29" xfId="0" applyFont="1" applyFill="1" applyBorder="1" applyAlignment="1">
      <alignment horizontal="left" vertical="top"/>
    </xf>
    <xf numFmtId="0" fontId="2" fillId="7" borderId="1" xfId="3" applyFont="1" applyFill="1" applyBorder="1" applyAlignment="1">
      <alignment horizontal="left" vertical="top"/>
    </xf>
    <xf numFmtId="0" fontId="2" fillId="7" borderId="2" xfId="3" applyFont="1" applyFill="1" applyBorder="1" applyAlignment="1">
      <alignment horizontal="left" vertical="top"/>
    </xf>
    <xf numFmtId="0" fontId="2" fillId="7" borderId="5" xfId="3" applyFont="1" applyFill="1" applyBorder="1" applyAlignment="1">
      <alignment horizontal="left" vertical="top"/>
    </xf>
    <xf numFmtId="0" fontId="9" fillId="7" borderId="1" xfId="0" applyFont="1" applyFill="1" applyBorder="1" applyAlignment="1">
      <alignment horizontal="left" vertical="top"/>
    </xf>
    <xf numFmtId="0" fontId="9" fillId="7" borderId="2" xfId="0" applyFont="1" applyFill="1" applyBorder="1" applyAlignment="1">
      <alignment horizontal="left" vertical="top"/>
    </xf>
    <xf numFmtId="0" fontId="9" fillId="7" borderId="5" xfId="0" applyFont="1" applyFill="1" applyBorder="1" applyAlignment="1">
      <alignment horizontal="left" vertical="top"/>
    </xf>
    <xf numFmtId="0" fontId="9" fillId="7" borderId="1" xfId="0" applyFont="1" applyFill="1" applyBorder="1" applyAlignment="1">
      <alignment horizontal="left" vertical="top" wrapText="1"/>
    </xf>
    <xf numFmtId="0" fontId="9" fillId="7" borderId="2" xfId="0" applyFont="1" applyFill="1" applyBorder="1" applyAlignment="1">
      <alignment horizontal="left" vertical="top" wrapText="1"/>
    </xf>
    <xf numFmtId="0" fontId="9" fillId="7" borderId="5" xfId="0" applyFont="1" applyFill="1" applyBorder="1" applyAlignment="1">
      <alignment horizontal="left" vertical="top" wrapText="1"/>
    </xf>
    <xf numFmtId="0" fontId="8" fillId="0" borderId="3" xfId="0" applyFont="1" applyFill="1" applyBorder="1" applyAlignment="1">
      <alignment horizontal="left" vertical="top" wrapText="1"/>
    </xf>
    <xf numFmtId="0" fontId="6" fillId="0" borderId="3" xfId="2" applyFont="1" applyFill="1" applyBorder="1" applyAlignment="1">
      <alignment horizontal="left" vertical="top" wrapText="1"/>
    </xf>
    <xf numFmtId="0" fontId="6" fillId="0" borderId="3" xfId="3" applyFont="1" applyFill="1" applyBorder="1" applyAlignment="1">
      <alignment vertical="top" wrapText="1"/>
    </xf>
    <xf numFmtId="0" fontId="9" fillId="0" borderId="3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vertical="top" wrapText="1"/>
    </xf>
    <xf numFmtId="0" fontId="9" fillId="8" borderId="1" xfId="0" applyFont="1" applyFill="1" applyBorder="1" applyAlignment="1">
      <alignment horizontal="left" vertical="top" wrapText="1"/>
    </xf>
    <xf numFmtId="0" fontId="9" fillId="8" borderId="2" xfId="0" applyFont="1" applyFill="1" applyBorder="1" applyAlignment="1">
      <alignment horizontal="left" vertical="top" wrapText="1"/>
    </xf>
    <xf numFmtId="0" fontId="9" fillId="8" borderId="5" xfId="0" applyFont="1" applyFill="1" applyBorder="1" applyAlignment="1">
      <alignment horizontal="left" vertical="top" wrapText="1"/>
    </xf>
    <xf numFmtId="0" fontId="6" fillId="0" borderId="3" xfId="3" applyFont="1" applyFill="1" applyBorder="1" applyAlignment="1">
      <alignment horizontal="left" vertical="top" wrapText="1"/>
    </xf>
    <xf numFmtId="0" fontId="6" fillId="0" borderId="3" xfId="3" applyFont="1" applyFill="1" applyBorder="1" applyAlignment="1">
      <alignment horizontal="left" vertical="top"/>
    </xf>
    <xf numFmtId="0" fontId="14" fillId="0" borderId="3" xfId="0" applyFont="1" applyFill="1" applyBorder="1" applyAlignment="1">
      <alignment horizontal="left" vertical="top" wrapText="1"/>
    </xf>
  </cellXfs>
  <cellStyles count="4">
    <cellStyle name="Currency" xfId="1" builtinId="4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colors>
    <mruColors>
      <color rgb="FFFF00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zoomScaleNormal="100" workbookViewId="0">
      <selection activeCell="C33" sqref="C33"/>
    </sheetView>
  </sheetViews>
  <sheetFormatPr defaultRowHeight="15" x14ac:dyDescent="0.25"/>
  <cols>
    <col min="1" max="1" width="54.85546875" customWidth="1"/>
    <col min="2" max="3" width="18.85546875" bestFit="1" customWidth="1"/>
    <col min="4" max="4" width="18.85546875" customWidth="1"/>
    <col min="5" max="5" width="18.85546875" hidden="1" customWidth="1"/>
    <col min="6" max="6" width="64.28515625" customWidth="1"/>
    <col min="7" max="7" width="17.42578125" customWidth="1"/>
  </cols>
  <sheetData>
    <row r="1" spans="1:8" ht="15.75" thickBot="1" x14ac:dyDescent="0.3"/>
    <row r="2" spans="1:8" ht="16.5" thickBot="1" x14ac:dyDescent="0.3">
      <c r="A2" s="102" t="s">
        <v>0</v>
      </c>
      <c r="B2" s="56" t="s">
        <v>104</v>
      </c>
      <c r="C2" s="56" t="s">
        <v>40</v>
      </c>
      <c r="D2" s="57" t="s">
        <v>100</v>
      </c>
      <c r="E2" s="129" t="s">
        <v>99</v>
      </c>
    </row>
    <row r="3" spans="1:8" ht="15.75" x14ac:dyDescent="0.25">
      <c r="A3" s="104"/>
      <c r="B3" s="55"/>
      <c r="C3" s="55"/>
      <c r="D3" s="55"/>
      <c r="E3" s="130"/>
    </row>
    <row r="4" spans="1:8" ht="15.75" x14ac:dyDescent="0.25">
      <c r="A4" s="103" t="s">
        <v>1</v>
      </c>
      <c r="B4" s="92">
        <f>Admin!C31</f>
        <v>2630630.8199999998</v>
      </c>
      <c r="C4" s="92">
        <f>Admin!D31-C5</f>
        <v>3376546.13</v>
      </c>
      <c r="D4" s="183">
        <f ca="1">Admin!F31-D5</f>
        <v>3082467.55</v>
      </c>
      <c r="E4" s="106">
        <f>Admin!G31-E5</f>
        <v>3384918.9857000001</v>
      </c>
    </row>
    <row r="5" spans="1:8" ht="15.75" x14ac:dyDescent="0.25">
      <c r="A5" s="105" t="s">
        <v>135</v>
      </c>
      <c r="B5" s="188">
        <v>65000</v>
      </c>
      <c r="C5" s="188">
        <v>77495</v>
      </c>
      <c r="D5" s="188">
        <v>77495</v>
      </c>
      <c r="E5" s="92">
        <v>77495</v>
      </c>
    </row>
    <row r="6" spans="1:8" s="91" customFormat="1" ht="15.75" x14ac:dyDescent="0.25">
      <c r="A6" s="107"/>
      <c r="B6" s="92"/>
      <c r="C6" s="92"/>
      <c r="D6" s="92"/>
      <c r="E6" s="130"/>
    </row>
    <row r="7" spans="1:8" ht="15.75" x14ac:dyDescent="0.25">
      <c r="A7" s="103" t="s">
        <v>132</v>
      </c>
      <c r="B7" s="92">
        <f>Rig!C51</f>
        <v>7312639.4700000007</v>
      </c>
      <c r="C7" s="92">
        <v>5628191.8200000003</v>
      </c>
      <c r="D7" s="183">
        <f>Rig!F51</f>
        <v>7620499.3700000001</v>
      </c>
      <c r="E7" s="106">
        <f>Rig!G51</f>
        <v>5598043.2648499999</v>
      </c>
    </row>
    <row r="8" spans="1:8" ht="15.75" x14ac:dyDescent="0.25">
      <c r="A8" s="103"/>
      <c r="B8" s="92"/>
      <c r="C8" s="92"/>
      <c r="D8" s="92"/>
      <c r="E8" s="130"/>
    </row>
    <row r="9" spans="1:8" ht="15.75" x14ac:dyDescent="0.25">
      <c r="A9" s="103" t="s">
        <v>133</v>
      </c>
      <c r="B9" s="180">
        <f>Science!C63</f>
        <v>4623544.62</v>
      </c>
      <c r="C9" s="92">
        <f>Science!D63-C10</f>
        <v>5233615.42</v>
      </c>
      <c r="D9" s="183">
        <f>Science!F63-D10</f>
        <v>3457425.08</v>
      </c>
      <c r="E9" s="106">
        <f>Science!G63-E10</f>
        <v>4428037.7445</v>
      </c>
    </row>
    <row r="10" spans="1:8" ht="15.75" x14ac:dyDescent="0.25">
      <c r="A10" s="105" t="s">
        <v>144</v>
      </c>
      <c r="B10" s="188">
        <v>917809</v>
      </c>
      <c r="C10" s="188">
        <v>1186440.52</v>
      </c>
      <c r="D10" s="188">
        <v>1115497</v>
      </c>
      <c r="E10" s="92">
        <v>1115497</v>
      </c>
    </row>
    <row r="11" spans="1:8" s="91" customFormat="1" ht="15.75" x14ac:dyDescent="0.25">
      <c r="A11" s="105"/>
      <c r="B11" s="92"/>
      <c r="C11" s="97"/>
      <c r="D11" s="97"/>
      <c r="E11" s="130"/>
    </row>
    <row r="12" spans="1:8" ht="15.75" x14ac:dyDescent="0.25">
      <c r="A12" s="182" t="s">
        <v>136</v>
      </c>
      <c r="B12" s="175">
        <f>SUM(B4+B7+B9)</f>
        <v>14566814.91</v>
      </c>
      <c r="C12" s="176">
        <f>SUM(C4+C7+C9)</f>
        <v>14238353.369999999</v>
      </c>
      <c r="D12" s="177">
        <f ca="1">SUM(D4+D7+D9)</f>
        <v>14160392</v>
      </c>
      <c r="E12" s="110">
        <f>SUM(E4+E7+E9)</f>
        <v>13410999.99505</v>
      </c>
      <c r="F12" t="s">
        <v>20</v>
      </c>
    </row>
    <row r="15" spans="1:8" s="91" customFormat="1" ht="15.75" thickBot="1" x14ac:dyDescent="0.3"/>
    <row r="16" spans="1:8" ht="18.75" customHeight="1" thickBot="1" x14ac:dyDescent="0.3">
      <c r="A16" s="108" t="s">
        <v>139</v>
      </c>
      <c r="B16" s="100">
        <v>2017</v>
      </c>
      <c r="C16" s="100">
        <v>2018</v>
      </c>
      <c r="D16" s="101">
        <v>2019</v>
      </c>
      <c r="E16" s="163">
        <v>2020</v>
      </c>
      <c r="F16" t="s">
        <v>20</v>
      </c>
      <c r="H16" t="s">
        <v>20</v>
      </c>
    </row>
    <row r="17" spans="1:12" ht="15.75" x14ac:dyDescent="0.25">
      <c r="A17" s="93"/>
      <c r="B17" s="95"/>
      <c r="C17" s="95"/>
      <c r="D17" s="95"/>
      <c r="E17" s="165"/>
    </row>
    <row r="18" spans="1:12" ht="15.75" x14ac:dyDescent="0.25">
      <c r="A18" s="103" t="s">
        <v>130</v>
      </c>
      <c r="B18" s="94">
        <v>12030000</v>
      </c>
      <c r="C18" s="94">
        <v>12197000</v>
      </c>
      <c r="D18" s="94">
        <v>11911000</v>
      </c>
      <c r="E18" s="94">
        <v>11911000</v>
      </c>
      <c r="F18" s="114"/>
      <c r="G18" s="96"/>
    </row>
    <row r="19" spans="1:12" ht="15.75" x14ac:dyDescent="0.25">
      <c r="A19" s="103" t="s">
        <v>131</v>
      </c>
      <c r="B19" s="94">
        <v>1500000</v>
      </c>
      <c r="C19" s="94">
        <v>1500000</v>
      </c>
      <c r="D19" s="94">
        <v>1500000</v>
      </c>
      <c r="E19" s="94">
        <v>1500000</v>
      </c>
      <c r="F19" s="114"/>
    </row>
    <row r="20" spans="1:12" ht="15.75" customHeight="1" x14ac:dyDescent="0.25">
      <c r="A20" s="171" t="s">
        <v>142</v>
      </c>
      <c r="B20" s="94">
        <v>613514</v>
      </c>
      <c r="C20" s="94">
        <v>478487</v>
      </c>
      <c r="D20" s="94">
        <v>749392</v>
      </c>
      <c r="E20" s="94"/>
      <c r="G20" s="112"/>
      <c r="H20" s="112"/>
      <c r="I20" s="112"/>
      <c r="J20" s="112"/>
      <c r="K20" s="112"/>
      <c r="L20" s="112"/>
    </row>
    <row r="21" spans="1:12" ht="15.75" x14ac:dyDescent="0.25">
      <c r="A21" s="109" t="s">
        <v>18</v>
      </c>
      <c r="B21" s="178">
        <f t="shared" ref="B21:C21" si="0">SUM(B18:B20)</f>
        <v>14143514</v>
      </c>
      <c r="C21" s="179">
        <f t="shared" si="0"/>
        <v>14175487</v>
      </c>
      <c r="D21" s="169">
        <f>SUM(D18:D20)</f>
        <v>14160392</v>
      </c>
      <c r="E21" s="111">
        <f>SUM(E18:E20)</f>
        <v>13411000</v>
      </c>
      <c r="F21" s="170"/>
    </row>
    <row r="22" spans="1:12" ht="16.5" customHeight="1" x14ac:dyDescent="0.25">
      <c r="A22" s="191" t="s">
        <v>143</v>
      </c>
      <c r="B22" s="192"/>
      <c r="C22" s="192"/>
      <c r="D22" s="192"/>
      <c r="E22" s="192"/>
      <c r="F22" s="192"/>
    </row>
    <row r="23" spans="1:12" s="91" customFormat="1" ht="16.5" customHeight="1" x14ac:dyDescent="0.25">
      <c r="A23" s="190"/>
      <c r="B23" s="190"/>
      <c r="C23" s="190"/>
      <c r="D23" s="190"/>
      <c r="E23" s="190"/>
      <c r="F23" s="190"/>
    </row>
    <row r="24" spans="1:12" s="91" customFormat="1" ht="16.5" customHeight="1" x14ac:dyDescent="0.25">
      <c r="A24" s="190"/>
      <c r="B24" s="190"/>
      <c r="C24" s="190"/>
      <c r="D24" s="190"/>
      <c r="E24" s="190"/>
      <c r="F24" s="190"/>
    </row>
    <row r="25" spans="1:12" ht="15.75" thickBot="1" x14ac:dyDescent="0.3">
      <c r="F25" t="s">
        <v>20</v>
      </c>
    </row>
    <row r="26" spans="1:12" ht="18.75" thickBot="1" x14ac:dyDescent="0.3">
      <c r="A26" s="52" t="s">
        <v>140</v>
      </c>
      <c r="B26" s="53">
        <v>2017</v>
      </c>
      <c r="C26" s="53">
        <v>2018</v>
      </c>
      <c r="D26" s="54">
        <v>2019</v>
      </c>
      <c r="E26" s="101">
        <v>2020</v>
      </c>
    </row>
    <row r="27" spans="1:12" ht="18" customHeight="1" x14ac:dyDescent="0.25">
      <c r="A27" s="181" t="s">
        <v>134</v>
      </c>
      <c r="B27" s="172">
        <f>SUM(B5+B10)</f>
        <v>982809</v>
      </c>
      <c r="C27" s="173">
        <f>SUM(C5+C10)</f>
        <v>1263935.52</v>
      </c>
      <c r="D27" s="174">
        <f>SUM(D5+D10)</f>
        <v>1192992</v>
      </c>
      <c r="E27" s="113">
        <f>SUM(E5+E10)</f>
        <v>1192992</v>
      </c>
    </row>
    <row r="28" spans="1:12" ht="19.5" customHeight="1" x14ac:dyDescent="0.5">
      <c r="A28" s="189" t="s">
        <v>141</v>
      </c>
      <c r="B28" s="151"/>
      <c r="C28" s="151"/>
      <c r="D28" s="151"/>
      <c r="E28" s="151"/>
      <c r="F28" s="151"/>
    </row>
    <row r="29" spans="1:12" ht="14.45" customHeight="1" x14ac:dyDescent="0.5">
      <c r="A29" s="151"/>
      <c r="B29" s="151"/>
      <c r="C29" s="151"/>
      <c r="D29" s="151"/>
      <c r="E29" s="151"/>
      <c r="F29" s="151"/>
    </row>
    <row r="30" spans="1:12" ht="14.45" customHeight="1" x14ac:dyDescent="0.5">
      <c r="A30" s="151"/>
      <c r="B30" s="151"/>
      <c r="C30" s="151"/>
      <c r="D30" s="151"/>
      <c r="E30" s="151"/>
      <c r="F30" s="151"/>
    </row>
    <row r="31" spans="1:12" ht="14.45" customHeight="1" x14ac:dyDescent="0.5">
      <c r="A31" s="151"/>
      <c r="B31" s="151"/>
      <c r="C31" s="151"/>
      <c r="D31" s="151"/>
      <c r="E31" s="151"/>
      <c r="F31" s="151"/>
    </row>
    <row r="32" spans="1:12" ht="15" customHeight="1" x14ac:dyDescent="0.5">
      <c r="A32" s="151"/>
      <c r="B32" s="151"/>
      <c r="C32" s="151"/>
      <c r="D32" s="151"/>
      <c r="E32" s="151"/>
      <c r="F32" s="151"/>
    </row>
  </sheetData>
  <mergeCells count="1">
    <mergeCell ref="A22:F22"/>
  </mergeCells>
  <pageMargins left="0.25" right="0.25" top="0.75" bottom="0.75" header="0.3" footer="0.3"/>
  <pageSetup paperSize="1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opLeftCell="A16" zoomScaleNormal="100" workbookViewId="0">
      <selection activeCell="F6" sqref="F6"/>
    </sheetView>
  </sheetViews>
  <sheetFormatPr defaultColWidth="30.5703125" defaultRowHeight="30" customHeight="1" x14ac:dyDescent="0.25"/>
  <cols>
    <col min="1" max="1" width="30.5703125" style="12"/>
    <col min="2" max="2" width="21.7109375" style="12" customWidth="1"/>
    <col min="3" max="3" width="17.7109375" style="12" customWidth="1"/>
    <col min="4" max="4" width="17.5703125" style="12" bestFit="1" customWidth="1"/>
    <col min="5" max="5" width="13.28515625" style="12" customWidth="1"/>
    <col min="6" max="6" width="17" style="12" customWidth="1"/>
    <col min="7" max="7" width="17.140625" style="12" hidden="1" customWidth="1"/>
    <col min="8" max="16384" width="30.5703125" style="12"/>
  </cols>
  <sheetData>
    <row r="1" spans="1:7" s="11" customFormat="1" ht="52.9" customHeight="1" thickBot="1" x14ac:dyDescent="0.3">
      <c r="A1" s="197" t="s">
        <v>2</v>
      </c>
      <c r="B1" s="198"/>
      <c r="C1" s="44" t="s">
        <v>38</v>
      </c>
      <c r="D1" s="44" t="s">
        <v>55</v>
      </c>
      <c r="E1" s="44" t="s">
        <v>101</v>
      </c>
      <c r="F1" s="45" t="s">
        <v>98</v>
      </c>
      <c r="G1" s="45" t="s">
        <v>97</v>
      </c>
    </row>
    <row r="2" spans="1:7" ht="30" customHeight="1" x14ac:dyDescent="0.25">
      <c r="A2" s="205" t="s">
        <v>58</v>
      </c>
      <c r="B2" s="206"/>
      <c r="C2" s="206"/>
      <c r="D2" s="206"/>
      <c r="E2" s="206"/>
      <c r="F2" s="206"/>
      <c r="G2" s="206"/>
    </row>
    <row r="3" spans="1:7" ht="30" customHeight="1" x14ac:dyDescent="0.25">
      <c r="A3" s="199" t="s">
        <v>44</v>
      </c>
      <c r="B3" s="200"/>
      <c r="C3" s="1">
        <v>650108.71</v>
      </c>
      <c r="D3" s="7">
        <v>640516.4</v>
      </c>
      <c r="E3" s="98"/>
      <c r="F3" s="1">
        <v>674276.41</v>
      </c>
      <c r="G3" s="13">
        <f>F3*1.03</f>
        <v>694504.7023</v>
      </c>
    </row>
    <row r="4" spans="1:7" ht="30" customHeight="1" x14ac:dyDescent="0.25">
      <c r="A4" s="193" t="s">
        <v>42</v>
      </c>
      <c r="B4" s="193"/>
      <c r="C4" s="7">
        <v>173982</v>
      </c>
      <c r="D4" s="7">
        <v>190000</v>
      </c>
      <c r="E4" s="98"/>
      <c r="F4" s="10">
        <f>C4*1.03</f>
        <v>179201.46</v>
      </c>
      <c r="G4" s="10">
        <v>179201.46</v>
      </c>
    </row>
    <row r="5" spans="1:7" ht="34.15" customHeight="1" x14ac:dyDescent="0.25">
      <c r="A5" s="199" t="s">
        <v>72</v>
      </c>
      <c r="B5" s="200"/>
      <c r="C5" s="7">
        <v>94980</v>
      </c>
      <c r="D5" s="7">
        <v>30000</v>
      </c>
      <c r="E5" s="98"/>
      <c r="F5" s="10">
        <f>C5*1.03</f>
        <v>97829.400000000009</v>
      </c>
      <c r="G5" s="10">
        <v>97829.4</v>
      </c>
    </row>
    <row r="6" spans="1:7" ht="30" customHeight="1" x14ac:dyDescent="0.25">
      <c r="A6" s="193" t="s">
        <v>85</v>
      </c>
      <c r="B6" s="193"/>
      <c r="C6" s="7">
        <v>0</v>
      </c>
      <c r="D6" s="7">
        <v>77495</v>
      </c>
      <c r="E6" s="98"/>
      <c r="F6" s="186">
        <v>77495</v>
      </c>
      <c r="G6" s="10">
        <v>77495</v>
      </c>
    </row>
    <row r="7" spans="1:7" ht="30" customHeight="1" x14ac:dyDescent="0.25">
      <c r="A7" s="8"/>
      <c r="B7" s="6" t="s">
        <v>3</v>
      </c>
      <c r="C7" s="3">
        <f>SUM(C3:C6)</f>
        <v>919070.71</v>
      </c>
      <c r="D7" s="3">
        <f>SUM(D3:D6)</f>
        <v>938011.4</v>
      </c>
      <c r="E7" s="3">
        <f>SUM(E3:E6)</f>
        <v>0</v>
      </c>
      <c r="F7" s="3">
        <f>SUM(F3:F6)</f>
        <v>1028802.27</v>
      </c>
      <c r="G7" s="3">
        <f>SUM(G3:G6)</f>
        <v>1049030.5622999999</v>
      </c>
    </row>
    <row r="8" spans="1:7" ht="30" customHeight="1" x14ac:dyDescent="0.25">
      <c r="A8" s="194" t="s">
        <v>86</v>
      </c>
      <c r="B8" s="195"/>
      <c r="C8" s="195"/>
      <c r="D8" s="195"/>
      <c r="E8" s="195"/>
      <c r="F8" s="195"/>
      <c r="G8" s="195"/>
    </row>
    <row r="9" spans="1:7" ht="30" customHeight="1" x14ac:dyDescent="0.25">
      <c r="A9" s="201" t="s">
        <v>73</v>
      </c>
      <c r="B9" s="201"/>
      <c r="C9" s="7">
        <v>379890</v>
      </c>
      <c r="D9" s="7">
        <f>521898.35+25000.09</f>
        <v>546898.43999999994</v>
      </c>
      <c r="E9" s="98"/>
      <c r="F9" s="10">
        <v>515220</v>
      </c>
      <c r="G9" s="13">
        <f>F9*1.03</f>
        <v>530676.6</v>
      </c>
    </row>
    <row r="10" spans="1:7" s="15" customFormat="1" ht="27" customHeight="1" x14ac:dyDescent="0.25">
      <c r="A10" s="203" t="s">
        <v>52</v>
      </c>
      <c r="B10" s="204"/>
      <c r="C10" s="7">
        <v>0</v>
      </c>
      <c r="D10" s="138">
        <v>47844</v>
      </c>
      <c r="E10" s="117"/>
      <c r="F10" s="1">
        <v>0</v>
      </c>
      <c r="G10" s="149">
        <v>0</v>
      </c>
    </row>
    <row r="11" spans="1:7" ht="30" customHeight="1" x14ac:dyDescent="0.25">
      <c r="A11" s="202" t="s">
        <v>88</v>
      </c>
      <c r="B11" s="202"/>
      <c r="C11" s="7">
        <v>23200</v>
      </c>
      <c r="D11" s="138">
        <v>31926</v>
      </c>
      <c r="E11" s="117"/>
      <c r="F11" s="1">
        <v>15274</v>
      </c>
      <c r="G11" s="10">
        <v>21948.400000000001</v>
      </c>
    </row>
    <row r="12" spans="1:7" ht="59.45" customHeight="1" x14ac:dyDescent="0.25">
      <c r="A12" s="201" t="s">
        <v>59</v>
      </c>
      <c r="B12" s="201"/>
      <c r="C12" s="7">
        <v>130894</v>
      </c>
      <c r="D12" s="7">
        <v>125219</v>
      </c>
      <c r="E12" s="98"/>
      <c r="F12" s="10">
        <v>131316</v>
      </c>
      <c r="G12" s="10">
        <v>139218.35</v>
      </c>
    </row>
    <row r="13" spans="1:7" ht="30" customHeight="1" x14ac:dyDescent="0.25">
      <c r="A13" s="87"/>
      <c r="B13" s="6" t="s">
        <v>3</v>
      </c>
      <c r="C13" s="3">
        <f t="shared" ref="C13:G13" si="0">SUM(C9:C12)</f>
        <v>533984</v>
      </c>
      <c r="D13" s="3">
        <f t="shared" si="0"/>
        <v>751887.44</v>
      </c>
      <c r="E13" s="3"/>
      <c r="F13" s="3">
        <f t="shared" si="0"/>
        <v>661810</v>
      </c>
      <c r="G13" s="3">
        <f t="shared" si="0"/>
        <v>691843.35</v>
      </c>
    </row>
    <row r="14" spans="1:7" ht="30" customHeight="1" x14ac:dyDescent="0.25">
      <c r="A14" s="194" t="s">
        <v>4</v>
      </c>
      <c r="B14" s="195"/>
      <c r="C14" s="195"/>
      <c r="D14" s="195"/>
      <c r="E14" s="195"/>
      <c r="F14" s="195"/>
      <c r="G14" s="196"/>
    </row>
    <row r="15" spans="1:7" ht="30" customHeight="1" x14ac:dyDescent="0.25">
      <c r="A15" s="193" t="s">
        <v>22</v>
      </c>
      <c r="B15" s="193"/>
      <c r="C15" s="7">
        <v>47000</v>
      </c>
      <c r="D15" s="138">
        <v>97000</v>
      </c>
      <c r="E15" s="117"/>
      <c r="F15" s="1">
        <v>0</v>
      </c>
      <c r="G15" s="10">
        <v>48500</v>
      </c>
    </row>
    <row r="16" spans="1:7" ht="30" customHeight="1" x14ac:dyDescent="0.25">
      <c r="A16" s="193" t="s">
        <v>23</v>
      </c>
      <c r="B16" s="193"/>
      <c r="C16" s="7">
        <v>73000</v>
      </c>
      <c r="D16" s="138">
        <v>100000</v>
      </c>
      <c r="E16" s="117"/>
      <c r="F16" s="1">
        <v>0</v>
      </c>
      <c r="G16" s="10">
        <v>50000</v>
      </c>
    </row>
    <row r="17" spans="1:7" ht="30" customHeight="1" x14ac:dyDescent="0.25">
      <c r="A17" s="193" t="s">
        <v>26</v>
      </c>
      <c r="B17" s="193"/>
      <c r="C17" s="7">
        <v>117919</v>
      </c>
      <c r="D17" s="98">
        <v>124928.52</v>
      </c>
      <c r="E17" s="98"/>
      <c r="F17" s="1">
        <v>150785</v>
      </c>
      <c r="G17" s="13">
        <f>F17*1.045</f>
        <v>157570.32499999998</v>
      </c>
    </row>
    <row r="18" spans="1:7" ht="30" customHeight="1" x14ac:dyDescent="0.25">
      <c r="A18" s="193" t="s">
        <v>27</v>
      </c>
      <c r="B18" s="193"/>
      <c r="C18" s="7">
        <v>119298</v>
      </c>
      <c r="D18" s="98">
        <v>122454</v>
      </c>
      <c r="E18" s="98"/>
      <c r="F18" s="1">
        <v>134389.26999999999</v>
      </c>
      <c r="G18" s="13">
        <f>F18*1.03</f>
        <v>138420.94809999998</v>
      </c>
    </row>
    <row r="19" spans="1:7" ht="30" customHeight="1" x14ac:dyDescent="0.25">
      <c r="A19" s="193" t="s">
        <v>24</v>
      </c>
      <c r="B19" s="193"/>
      <c r="C19" s="7">
        <v>33017</v>
      </c>
      <c r="D19" s="98">
        <v>81917</v>
      </c>
      <c r="E19" s="98"/>
      <c r="F19" s="1">
        <v>85239</v>
      </c>
      <c r="G19" s="13">
        <f>F19*1.03</f>
        <v>87796.17</v>
      </c>
    </row>
    <row r="20" spans="1:7" ht="30" customHeight="1" x14ac:dyDescent="0.25">
      <c r="A20" s="193" t="s">
        <v>25</v>
      </c>
      <c r="B20" s="193"/>
      <c r="C20" s="7">
        <v>79660</v>
      </c>
      <c r="D20" s="138">
        <v>129320</v>
      </c>
      <c r="E20" s="117"/>
      <c r="F20" s="98">
        <v>0</v>
      </c>
      <c r="G20" s="10">
        <v>64660</v>
      </c>
    </row>
    <row r="21" spans="1:7" ht="30" customHeight="1" x14ac:dyDescent="0.25">
      <c r="A21" s="193" t="s">
        <v>28</v>
      </c>
      <c r="B21" s="193"/>
      <c r="C21" s="7">
        <v>6745.71</v>
      </c>
      <c r="D21" s="98">
        <v>6745.71</v>
      </c>
      <c r="E21" s="98"/>
      <c r="F21" s="1">
        <v>7112.11</v>
      </c>
      <c r="G21" s="13">
        <f>F21*1.03</f>
        <v>7325.4732999999997</v>
      </c>
    </row>
    <row r="22" spans="1:7" ht="30" customHeight="1" x14ac:dyDescent="0.25">
      <c r="A22" s="87"/>
      <c r="B22" s="6" t="s">
        <v>3</v>
      </c>
      <c r="C22" s="5">
        <f t="shared" ref="C22:G22" si="1">SUM( C15:C21)</f>
        <v>476639.71</v>
      </c>
      <c r="D22" s="4">
        <f t="shared" si="1"/>
        <v>662365.23</v>
      </c>
      <c r="E22" s="4"/>
      <c r="F22" s="4">
        <f t="shared" si="1"/>
        <v>377525.38</v>
      </c>
      <c r="G22" s="5">
        <f t="shared" si="1"/>
        <v>554272.91639999999</v>
      </c>
    </row>
    <row r="23" spans="1:7" ht="30" customHeight="1" x14ac:dyDescent="0.25">
      <c r="A23" s="194" t="s">
        <v>5</v>
      </c>
      <c r="B23" s="195"/>
      <c r="C23" s="195"/>
      <c r="D23" s="195"/>
      <c r="E23" s="195"/>
      <c r="F23" s="195"/>
      <c r="G23" s="196"/>
    </row>
    <row r="24" spans="1:7" ht="33" customHeight="1" x14ac:dyDescent="0.25">
      <c r="A24" s="208" t="s">
        <v>107</v>
      </c>
      <c r="B24" s="208"/>
      <c r="C24" s="7">
        <v>338950</v>
      </c>
      <c r="D24" s="7">
        <v>350909.06</v>
      </c>
      <c r="E24" s="118"/>
      <c r="F24" s="13">
        <v>425934</v>
      </c>
      <c r="G24" s="13">
        <f>F24*1.045</f>
        <v>445101.02999999997</v>
      </c>
    </row>
    <row r="25" spans="1:7" ht="30" customHeight="1" x14ac:dyDescent="0.25">
      <c r="A25" s="201" t="s">
        <v>108</v>
      </c>
      <c r="B25" s="201"/>
      <c r="C25" s="7">
        <v>278987</v>
      </c>
      <c r="D25" s="1">
        <v>386249</v>
      </c>
      <c r="E25" s="1"/>
      <c r="F25" s="162">
        <v>417640.9</v>
      </c>
      <c r="G25" s="13">
        <f>F25*1.03</f>
        <v>430170.12700000004</v>
      </c>
    </row>
    <row r="26" spans="1:7" ht="30" customHeight="1" x14ac:dyDescent="0.25">
      <c r="A26" s="209" t="s">
        <v>109</v>
      </c>
      <c r="B26" s="209"/>
      <c r="C26" s="7">
        <v>0</v>
      </c>
      <c r="D26" s="41">
        <v>189022</v>
      </c>
      <c r="E26" s="41"/>
      <c r="F26" s="10">
        <v>198250</v>
      </c>
      <c r="G26" s="13">
        <f>F26*1.03</f>
        <v>204197.5</v>
      </c>
    </row>
    <row r="27" spans="1:7" ht="15" x14ac:dyDescent="0.25">
      <c r="A27" s="193" t="s">
        <v>22</v>
      </c>
      <c r="B27" s="193"/>
      <c r="C27" s="7">
        <f>129999.4-C15</f>
        <v>82999.399999999994</v>
      </c>
      <c r="D27" s="138">
        <v>175597</v>
      </c>
      <c r="E27" s="117"/>
      <c r="F27" s="126">
        <v>0</v>
      </c>
      <c r="G27" s="10">
        <v>87798.5</v>
      </c>
    </row>
    <row r="28" spans="1:7" ht="15" x14ac:dyDescent="0.25">
      <c r="A28" s="210" t="s">
        <v>128</v>
      </c>
      <c r="B28" s="211"/>
      <c r="C28" s="98">
        <v>0</v>
      </c>
      <c r="D28" s="98">
        <v>0</v>
      </c>
      <c r="E28" s="98">
        <v>0</v>
      </c>
      <c r="F28" s="167">
        <v>50000</v>
      </c>
      <c r="G28" s="116"/>
    </row>
    <row r="29" spans="1:7" ht="30" customHeight="1" x14ac:dyDescent="0.25">
      <c r="A29" s="9"/>
      <c r="B29" s="86" t="s">
        <v>3</v>
      </c>
      <c r="C29" s="5">
        <f>SUM(C24:C28)</f>
        <v>700936.4</v>
      </c>
      <c r="D29" s="5">
        <f>SUM(D24:D28)</f>
        <v>1101777.06</v>
      </c>
      <c r="E29" s="5"/>
      <c r="F29" s="5">
        <f ca="1">SUM(F24:F29)</f>
        <v>0</v>
      </c>
      <c r="G29" s="5">
        <f>SUM(G24:G28)</f>
        <v>1167267.1570000001</v>
      </c>
    </row>
    <row r="30" spans="1:7" ht="30" customHeight="1" x14ac:dyDescent="0.25">
      <c r="A30" s="212"/>
      <c r="B30" s="213"/>
      <c r="C30" s="213"/>
      <c r="D30" s="213"/>
      <c r="E30" s="213"/>
      <c r="F30" s="213"/>
      <c r="G30" s="214"/>
    </row>
    <row r="31" spans="1:7" ht="30" customHeight="1" x14ac:dyDescent="0.25">
      <c r="A31" s="207" t="s">
        <v>6</v>
      </c>
      <c r="B31" s="207"/>
      <c r="C31" s="4">
        <f>SUM(C7,C13,C22,C29)</f>
        <v>2630630.8199999998</v>
      </c>
      <c r="D31" s="4">
        <f>SUM(D7,D13,D22,D29)</f>
        <v>3454041.13</v>
      </c>
      <c r="E31" s="4"/>
      <c r="F31" s="4">
        <f ca="1">SUM(F7,F13,F22,F29)</f>
        <v>3159962.55</v>
      </c>
      <c r="G31" s="4">
        <f>SUM(G7,G13,G22,G29)</f>
        <v>3462413.9857000001</v>
      </c>
    </row>
    <row r="32" spans="1:7" ht="30" customHeight="1" x14ac:dyDescent="0.25">
      <c r="A32" s="139" t="s">
        <v>106</v>
      </c>
    </row>
  </sheetData>
  <mergeCells count="27">
    <mergeCell ref="A20:B20"/>
    <mergeCell ref="A31:B31"/>
    <mergeCell ref="A24:B24"/>
    <mergeCell ref="A25:B25"/>
    <mergeCell ref="A27:B27"/>
    <mergeCell ref="A26:B26"/>
    <mergeCell ref="A21:B21"/>
    <mergeCell ref="A28:B28"/>
    <mergeCell ref="A30:G30"/>
    <mergeCell ref="A23:G23"/>
    <mergeCell ref="A14:G14"/>
    <mergeCell ref="A1:B1"/>
    <mergeCell ref="A3:B3"/>
    <mergeCell ref="A4:B4"/>
    <mergeCell ref="A12:B12"/>
    <mergeCell ref="A9:B9"/>
    <mergeCell ref="A5:B5"/>
    <mergeCell ref="A11:B11"/>
    <mergeCell ref="A10:B10"/>
    <mergeCell ref="A6:B6"/>
    <mergeCell ref="A8:G8"/>
    <mergeCell ref="A2:G2"/>
    <mergeCell ref="A15:B15"/>
    <mergeCell ref="A19:B19"/>
    <mergeCell ref="A16:B16"/>
    <mergeCell ref="A17:B17"/>
    <mergeCell ref="A18:B18"/>
  </mergeCells>
  <pageMargins left="0.25" right="0.25" top="0.75" bottom="0.75" header="0.3" footer="0.3"/>
  <pageSetup paperSize="1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opLeftCell="A13" zoomScaleNormal="100" workbookViewId="0">
      <selection activeCell="A38" sqref="A38:B38"/>
    </sheetView>
  </sheetViews>
  <sheetFormatPr defaultColWidth="25.7109375" defaultRowHeight="19.899999999999999" customHeight="1" x14ac:dyDescent="0.25"/>
  <cols>
    <col min="1" max="1" width="25.7109375" style="15"/>
    <col min="2" max="2" width="23.42578125" style="15" customWidth="1"/>
    <col min="3" max="3" width="17.5703125" style="15" bestFit="1" customWidth="1"/>
    <col min="4" max="4" width="17.42578125" style="15" customWidth="1"/>
    <col min="5" max="5" width="16.7109375" style="99" customWidth="1"/>
    <col min="6" max="6" width="17.5703125" style="15" bestFit="1" customWidth="1"/>
    <col min="7" max="7" width="17" style="12" hidden="1" customWidth="1"/>
    <col min="8" max="16384" width="25.7109375" style="15"/>
  </cols>
  <sheetData>
    <row r="1" spans="1:7" s="14" customFormat="1" ht="19.899999999999999" customHeight="1" x14ac:dyDescent="0.25">
      <c r="A1" s="223" t="s">
        <v>46</v>
      </c>
      <c r="B1" s="224"/>
      <c r="C1" s="50">
        <v>2017</v>
      </c>
      <c r="D1" s="46">
        <v>2018</v>
      </c>
      <c r="E1" s="125">
        <v>2018</v>
      </c>
      <c r="F1" s="123">
        <v>2019</v>
      </c>
      <c r="G1" s="121">
        <v>2020</v>
      </c>
    </row>
    <row r="2" spans="1:7" s="14" customFormat="1" ht="30" customHeight="1" thickBot="1" x14ac:dyDescent="0.3">
      <c r="A2" s="47"/>
      <c r="B2" s="48"/>
      <c r="C2" s="51" t="s">
        <v>19</v>
      </c>
      <c r="D2" s="122" t="s">
        <v>43</v>
      </c>
      <c r="E2" s="64" t="s">
        <v>19</v>
      </c>
      <c r="F2" s="124" t="s">
        <v>7</v>
      </c>
      <c r="G2" s="49" t="s">
        <v>39</v>
      </c>
    </row>
    <row r="3" spans="1:7" ht="19.899999999999999" customHeight="1" x14ac:dyDescent="0.25">
      <c r="A3" s="231" t="s">
        <v>45</v>
      </c>
      <c r="B3" s="232"/>
      <c r="C3" s="232"/>
      <c r="D3" s="232"/>
      <c r="E3" s="232"/>
      <c r="F3" s="232"/>
      <c r="G3" s="233"/>
    </row>
    <row r="4" spans="1:7" ht="46.9" customHeight="1" x14ac:dyDescent="0.25">
      <c r="A4" s="228" t="s">
        <v>56</v>
      </c>
      <c r="B4" s="228"/>
      <c r="C4" s="2">
        <v>1108859.5900000001</v>
      </c>
      <c r="D4" s="2">
        <v>865424.22</v>
      </c>
      <c r="E4" s="2"/>
      <c r="F4" s="1">
        <v>897053.18</v>
      </c>
      <c r="G4" s="13">
        <f>F4*1.03</f>
        <v>923964.77540000004</v>
      </c>
    </row>
    <row r="5" spans="1:7" ht="19.899999999999999" customHeight="1" x14ac:dyDescent="0.25">
      <c r="A5" s="88"/>
      <c r="B5" s="16" t="s">
        <v>3</v>
      </c>
      <c r="C5" s="3">
        <f t="shared" ref="C5:G5" si="0">C4</f>
        <v>1108859.5900000001</v>
      </c>
      <c r="D5" s="3">
        <f t="shared" si="0"/>
        <v>865424.22</v>
      </c>
      <c r="E5" s="3"/>
      <c r="F5" s="3">
        <f t="shared" si="0"/>
        <v>897053.18</v>
      </c>
      <c r="G5" s="3">
        <f t="shared" si="0"/>
        <v>923964.77540000004</v>
      </c>
    </row>
    <row r="6" spans="1:7" ht="19.899999999999999" customHeight="1" x14ac:dyDescent="0.25">
      <c r="A6" s="219" t="s">
        <v>71</v>
      </c>
      <c r="B6" s="220"/>
      <c r="C6" s="220"/>
      <c r="D6" s="220"/>
      <c r="E6" s="220"/>
      <c r="F6" s="220"/>
      <c r="G6" s="221"/>
    </row>
    <row r="7" spans="1:7" ht="19.899999999999999" customHeight="1" x14ac:dyDescent="0.25">
      <c r="A7" s="222" t="s">
        <v>47</v>
      </c>
      <c r="B7" s="222"/>
      <c r="C7" s="98">
        <v>39500</v>
      </c>
      <c r="D7" s="138">
        <v>138000</v>
      </c>
      <c r="E7" s="117"/>
      <c r="F7" s="1">
        <v>0</v>
      </c>
      <c r="G7" s="10">
        <v>69000</v>
      </c>
    </row>
    <row r="8" spans="1:7" ht="31.9" customHeight="1" x14ac:dyDescent="0.25">
      <c r="A8" s="215" t="s">
        <v>60</v>
      </c>
      <c r="B8" s="215"/>
      <c r="C8" s="98">
        <v>35119.589999999997</v>
      </c>
      <c r="D8" s="98">
        <v>35126.720000000001</v>
      </c>
      <c r="E8" s="98"/>
      <c r="F8" s="1">
        <v>35683.300000000003</v>
      </c>
      <c r="G8" s="35">
        <v>35800</v>
      </c>
    </row>
    <row r="9" spans="1:7" ht="15.75" x14ac:dyDescent="0.25">
      <c r="A9" s="225" t="s">
        <v>103</v>
      </c>
      <c r="B9" s="226"/>
      <c r="C9" s="98">
        <v>0</v>
      </c>
      <c r="D9" s="98">
        <v>0</v>
      </c>
      <c r="E9" s="98"/>
      <c r="F9" s="1">
        <v>200000</v>
      </c>
      <c r="G9" s="10">
        <v>0</v>
      </c>
    </row>
    <row r="10" spans="1:7" ht="19.899999999999999" customHeight="1" x14ac:dyDescent="0.25">
      <c r="A10" s="222" t="s">
        <v>50</v>
      </c>
      <c r="B10" s="222"/>
      <c r="C10" s="19">
        <v>39067</v>
      </c>
      <c r="D10" s="19">
        <v>36025</v>
      </c>
      <c r="E10" s="19"/>
      <c r="F10" s="10">
        <v>50000</v>
      </c>
      <c r="G10" s="10">
        <v>50000</v>
      </c>
    </row>
    <row r="11" spans="1:7" ht="19.899999999999999" customHeight="1" x14ac:dyDescent="0.25">
      <c r="A11" s="17"/>
      <c r="B11" s="89" t="s">
        <v>3</v>
      </c>
      <c r="C11" s="3">
        <f t="shared" ref="C11:E11" si="1">SUM(C7:C10)</f>
        <v>113686.59</v>
      </c>
      <c r="D11" s="3">
        <f t="shared" si="1"/>
        <v>209151.72</v>
      </c>
      <c r="E11" s="3">
        <f t="shared" si="1"/>
        <v>0</v>
      </c>
      <c r="F11" s="3">
        <f>SUM(F7:F10)</f>
        <v>285683.3</v>
      </c>
      <c r="G11" s="3">
        <f>SUM(G7:G10)</f>
        <v>154800</v>
      </c>
    </row>
    <row r="12" spans="1:7" ht="19.899999999999999" customHeight="1" x14ac:dyDescent="0.25">
      <c r="A12" s="219" t="s">
        <v>8</v>
      </c>
      <c r="B12" s="220"/>
      <c r="C12" s="220"/>
      <c r="D12" s="220"/>
      <c r="E12" s="220"/>
      <c r="F12" s="220"/>
      <c r="G12" s="221"/>
    </row>
    <row r="13" spans="1:7" ht="28.9" customHeight="1" x14ac:dyDescent="0.25">
      <c r="A13" s="215" t="s">
        <v>68</v>
      </c>
      <c r="B13" s="215"/>
      <c r="C13" s="18">
        <v>571941</v>
      </c>
      <c r="D13" s="18">
        <v>438728</v>
      </c>
      <c r="E13" s="18"/>
      <c r="F13" s="10">
        <v>401890</v>
      </c>
      <c r="G13" s="13">
        <f>F13*1.03</f>
        <v>413946.7</v>
      </c>
    </row>
    <row r="14" spans="1:7" ht="28.9" customHeight="1" x14ac:dyDescent="0.25">
      <c r="A14" s="215" t="s">
        <v>126</v>
      </c>
      <c r="B14" s="215"/>
      <c r="C14" s="7">
        <v>0</v>
      </c>
      <c r="D14" s="7">
        <v>75000</v>
      </c>
      <c r="E14" s="98"/>
      <c r="F14" s="166">
        <v>39157</v>
      </c>
      <c r="G14" s="13">
        <f>F14*1.03</f>
        <v>40331.71</v>
      </c>
    </row>
    <row r="15" spans="1:7" ht="19.899999999999999" customHeight="1" x14ac:dyDescent="0.25">
      <c r="A15" s="222" t="s">
        <v>110</v>
      </c>
      <c r="B15" s="222"/>
      <c r="C15" s="7">
        <v>0</v>
      </c>
      <c r="D15" s="7">
        <v>0</v>
      </c>
      <c r="E15" s="98"/>
      <c r="F15" s="10">
        <v>0</v>
      </c>
      <c r="G15" s="10">
        <v>0</v>
      </c>
    </row>
    <row r="16" spans="1:7" ht="19.899999999999999" customHeight="1" x14ac:dyDescent="0.25">
      <c r="A16" s="222" t="s">
        <v>48</v>
      </c>
      <c r="B16" s="222"/>
      <c r="C16" s="7">
        <v>57055</v>
      </c>
      <c r="D16" s="138">
        <v>119294</v>
      </c>
      <c r="E16" s="98">
        <v>119302</v>
      </c>
      <c r="F16" s="1">
        <v>10000</v>
      </c>
      <c r="G16" s="10">
        <v>0</v>
      </c>
    </row>
    <row r="17" spans="1:7" ht="17.45" customHeight="1" x14ac:dyDescent="0.25">
      <c r="A17" s="215" t="s">
        <v>65</v>
      </c>
      <c r="B17" s="215"/>
      <c r="C17" s="7">
        <v>0</v>
      </c>
      <c r="D17" s="7">
        <v>0</v>
      </c>
      <c r="E17" s="98"/>
      <c r="F17" s="10"/>
      <c r="G17" s="10">
        <v>0</v>
      </c>
    </row>
    <row r="18" spans="1:7" ht="19.899999999999999" customHeight="1" x14ac:dyDescent="0.25">
      <c r="A18" s="216" t="s">
        <v>10</v>
      </c>
      <c r="B18" s="217"/>
      <c r="C18" s="217"/>
      <c r="D18" s="217"/>
      <c r="E18" s="217"/>
      <c r="F18" s="217"/>
      <c r="G18" s="218"/>
    </row>
    <row r="19" spans="1:7" ht="28.9" customHeight="1" x14ac:dyDescent="0.25">
      <c r="A19" s="229" t="s">
        <v>70</v>
      </c>
      <c r="B19" s="229"/>
      <c r="C19" s="1">
        <v>105000</v>
      </c>
      <c r="D19" s="10">
        <v>0</v>
      </c>
      <c r="E19" s="10"/>
      <c r="F19" s="10">
        <v>200000</v>
      </c>
      <c r="G19" s="10">
        <v>0</v>
      </c>
    </row>
    <row r="20" spans="1:7" ht="19.899999999999999" customHeight="1" x14ac:dyDescent="0.25">
      <c r="A20" s="230" t="s">
        <v>11</v>
      </c>
      <c r="B20" s="230"/>
      <c r="C20" s="1">
        <v>35000</v>
      </c>
      <c r="D20" s="1">
        <v>40000</v>
      </c>
      <c r="E20" s="1"/>
      <c r="F20" s="35">
        <v>50000</v>
      </c>
      <c r="G20" s="10">
        <f>50000-13937.83</f>
        <v>36062.17</v>
      </c>
    </row>
    <row r="21" spans="1:7" ht="19.899999999999999" customHeight="1" x14ac:dyDescent="0.25">
      <c r="A21" s="230" t="s">
        <v>12</v>
      </c>
      <c r="B21" s="230"/>
      <c r="C21" s="7">
        <v>50000</v>
      </c>
      <c r="D21" s="7">
        <v>49709</v>
      </c>
      <c r="E21" s="98"/>
      <c r="F21" s="10">
        <v>50000</v>
      </c>
      <c r="G21" s="10">
        <v>23342.3</v>
      </c>
    </row>
    <row r="22" spans="1:7" ht="19.899999999999999" customHeight="1" x14ac:dyDescent="0.25">
      <c r="A22" s="230" t="s">
        <v>113</v>
      </c>
      <c r="B22" s="230"/>
      <c r="C22" s="7">
        <v>135500</v>
      </c>
      <c r="D22" s="7">
        <v>0</v>
      </c>
      <c r="E22" s="98"/>
      <c r="F22" s="10">
        <v>0</v>
      </c>
      <c r="G22" s="10">
        <v>0</v>
      </c>
    </row>
    <row r="23" spans="1:7" ht="19.899999999999999" customHeight="1" x14ac:dyDescent="0.25">
      <c r="A23" s="227" t="s">
        <v>9</v>
      </c>
      <c r="B23" s="227"/>
      <c r="C23" s="19">
        <v>48079</v>
      </c>
      <c r="D23" s="1">
        <v>0</v>
      </c>
      <c r="E23" s="1"/>
      <c r="F23" s="10">
        <v>0</v>
      </c>
      <c r="G23" s="10">
        <v>0</v>
      </c>
    </row>
    <row r="24" spans="1:7" s="36" customFormat="1" ht="19.899999999999999" customHeight="1" x14ac:dyDescent="0.25">
      <c r="A24" s="222" t="s">
        <v>21</v>
      </c>
      <c r="B24" s="222"/>
      <c r="C24" s="7">
        <v>36292</v>
      </c>
      <c r="D24" s="7">
        <v>0</v>
      </c>
      <c r="E24" s="118"/>
      <c r="F24" s="35">
        <v>0</v>
      </c>
      <c r="G24" s="35">
        <v>0</v>
      </c>
    </row>
    <row r="25" spans="1:7" ht="19.899999999999999" customHeight="1" x14ac:dyDescent="0.25">
      <c r="A25" s="227" t="s">
        <v>49</v>
      </c>
      <c r="B25" s="227"/>
      <c r="C25" s="1">
        <v>0</v>
      </c>
      <c r="D25" s="1">
        <v>0</v>
      </c>
      <c r="E25" s="1"/>
      <c r="F25" s="162">
        <v>0</v>
      </c>
      <c r="G25" s="10">
        <v>0</v>
      </c>
    </row>
    <row r="26" spans="1:7" ht="15" customHeight="1" x14ac:dyDescent="0.25">
      <c r="A26" s="89"/>
      <c r="B26" s="89" t="s">
        <v>3</v>
      </c>
      <c r="C26" s="3">
        <f>SUM(C13:C25)</f>
        <v>1038867</v>
      </c>
      <c r="D26" s="3">
        <f>SUM(D13:D25)</f>
        <v>722731</v>
      </c>
      <c r="E26" s="3">
        <f>SUM(E13:E25)</f>
        <v>119302</v>
      </c>
      <c r="F26" s="3">
        <f>SUM(F13:F25)</f>
        <v>751047</v>
      </c>
      <c r="G26" s="3">
        <f>SUM(G13:G25)</f>
        <v>513682.88</v>
      </c>
    </row>
    <row r="27" spans="1:7" ht="19.899999999999999" customHeight="1" x14ac:dyDescent="0.25">
      <c r="A27" s="219" t="s">
        <v>13</v>
      </c>
      <c r="B27" s="220"/>
      <c r="C27" s="220"/>
      <c r="D27" s="220"/>
      <c r="E27" s="220"/>
      <c r="F27" s="220"/>
      <c r="G27" s="221"/>
    </row>
    <row r="28" spans="1:7" ht="19.899999999999999" customHeight="1" x14ac:dyDescent="0.25">
      <c r="A28" s="222" t="s">
        <v>111</v>
      </c>
      <c r="B28" s="222"/>
      <c r="C28" s="20">
        <v>196800</v>
      </c>
      <c r="D28" s="20">
        <v>242704</v>
      </c>
      <c r="E28" s="20"/>
      <c r="F28" s="13">
        <v>183742</v>
      </c>
      <c r="G28" s="13">
        <f>F28*1.045</f>
        <v>192010.38999999998</v>
      </c>
    </row>
    <row r="29" spans="1:7" ht="19.899999999999999" customHeight="1" x14ac:dyDescent="0.25">
      <c r="A29" s="222" t="s">
        <v>51</v>
      </c>
      <c r="B29" s="222"/>
      <c r="C29" s="20">
        <v>235578</v>
      </c>
      <c r="D29" s="20">
        <v>242037</v>
      </c>
      <c r="E29" s="20"/>
      <c r="F29" s="10">
        <v>282246.94</v>
      </c>
      <c r="G29" s="13">
        <f>F29*1.03</f>
        <v>290714.34820000001</v>
      </c>
    </row>
    <row r="30" spans="1:7" ht="19.899999999999999" customHeight="1" x14ac:dyDescent="0.25">
      <c r="A30" s="230" t="s">
        <v>53</v>
      </c>
      <c r="B30" s="230"/>
      <c r="C30" s="7">
        <v>111430</v>
      </c>
      <c r="D30" s="138">
        <f>70340+100219.28</f>
        <v>170559.28</v>
      </c>
      <c r="E30" s="98"/>
      <c r="F30" s="10">
        <v>0</v>
      </c>
      <c r="G30" s="13">
        <v>100219.28</v>
      </c>
    </row>
    <row r="31" spans="1:7" ht="19.899999999999999" customHeight="1" x14ac:dyDescent="0.25">
      <c r="A31" s="209" t="s">
        <v>66</v>
      </c>
      <c r="B31" s="209"/>
      <c r="C31" s="7">
        <v>87891.29</v>
      </c>
      <c r="D31" s="138">
        <v>227875.61</v>
      </c>
      <c r="E31" s="117"/>
      <c r="F31" s="10">
        <v>0</v>
      </c>
      <c r="G31" s="10">
        <v>113937.81</v>
      </c>
    </row>
    <row r="32" spans="1:7" ht="19.899999999999999" customHeight="1" x14ac:dyDescent="0.25">
      <c r="A32" s="90" t="s">
        <v>89</v>
      </c>
      <c r="B32" s="90"/>
      <c r="C32" s="7">
        <v>0</v>
      </c>
      <c r="D32" s="98">
        <v>35000</v>
      </c>
      <c r="E32" s="98"/>
      <c r="F32" s="10">
        <v>0</v>
      </c>
      <c r="G32" s="10">
        <v>0</v>
      </c>
    </row>
    <row r="33" spans="1:7" ht="16.899999999999999" customHeight="1" x14ac:dyDescent="0.25">
      <c r="A33" s="21"/>
      <c r="B33" s="22" t="s">
        <v>14</v>
      </c>
      <c r="C33" s="3">
        <f t="shared" ref="C33" si="2">SUM(C28:C32)</f>
        <v>631699.29</v>
      </c>
      <c r="D33" s="3">
        <f>SUM(D28:D32)</f>
        <v>918175.89</v>
      </c>
      <c r="E33" s="3">
        <f t="shared" ref="E33:F33" si="3">SUM(E28:E32)</f>
        <v>0</v>
      </c>
      <c r="F33" s="3">
        <f t="shared" si="3"/>
        <v>465988.94</v>
      </c>
      <c r="G33" s="3">
        <f>SUM(G28:G32)</f>
        <v>696881.82820000011</v>
      </c>
    </row>
    <row r="34" spans="1:7" ht="19.899999999999999" customHeight="1" x14ac:dyDescent="0.25">
      <c r="A34" s="219" t="s">
        <v>15</v>
      </c>
      <c r="B34" s="220"/>
      <c r="C34" s="220"/>
      <c r="D34" s="220"/>
      <c r="E34" s="220"/>
      <c r="F34" s="220"/>
      <c r="G34" s="221"/>
    </row>
    <row r="35" spans="1:7" ht="19.899999999999999" customHeight="1" x14ac:dyDescent="0.2">
      <c r="A35" s="234" t="s">
        <v>125</v>
      </c>
      <c r="B35" s="235"/>
      <c r="C35" s="29">
        <v>3914826</v>
      </c>
      <c r="D35" s="23">
        <v>713419</v>
      </c>
      <c r="E35" s="23"/>
      <c r="F35" s="127">
        <f>4120000-8990.8-0.09+100219.28-50000+115000-36000</f>
        <v>4240228.3900000006</v>
      </c>
      <c r="G35" s="10">
        <f>2500000-180000</f>
        <v>2320000</v>
      </c>
    </row>
    <row r="36" spans="1:7" ht="19.899999999999999" customHeight="1" x14ac:dyDescent="0.2">
      <c r="A36" s="234" t="s">
        <v>64</v>
      </c>
      <c r="B36" s="235"/>
      <c r="C36" s="24">
        <v>0</v>
      </c>
      <c r="D36" s="23">
        <v>40000</v>
      </c>
      <c r="E36" s="23"/>
      <c r="F36" s="42">
        <v>40000</v>
      </c>
      <c r="G36" s="150">
        <v>40000</v>
      </c>
    </row>
    <row r="37" spans="1:7" ht="19.899999999999999" customHeight="1" x14ac:dyDescent="0.25">
      <c r="A37" s="234" t="s">
        <v>63</v>
      </c>
      <c r="B37" s="235"/>
      <c r="C37" s="24">
        <v>0</v>
      </c>
      <c r="D37" s="1">
        <v>67675</v>
      </c>
      <c r="E37" s="1"/>
      <c r="F37" s="1">
        <v>0</v>
      </c>
      <c r="G37" s="10"/>
    </row>
    <row r="38" spans="1:7" ht="19.899999999999999" customHeight="1" x14ac:dyDescent="0.25">
      <c r="A38" s="234" t="s">
        <v>145</v>
      </c>
      <c r="B38" s="235"/>
      <c r="C38" s="7">
        <v>0</v>
      </c>
      <c r="D38" s="1">
        <v>114000</v>
      </c>
      <c r="E38" s="1"/>
      <c r="F38" s="1">
        <v>0</v>
      </c>
      <c r="G38" s="10"/>
    </row>
    <row r="39" spans="1:7" ht="19.899999999999999" customHeight="1" x14ac:dyDescent="0.25">
      <c r="A39" s="234" t="s">
        <v>54</v>
      </c>
      <c r="B39" s="235"/>
      <c r="C39" s="19">
        <v>7776</v>
      </c>
      <c r="D39" s="98">
        <v>0</v>
      </c>
      <c r="E39" s="98"/>
      <c r="F39" s="1">
        <v>125000</v>
      </c>
      <c r="G39" s="10">
        <v>100000</v>
      </c>
    </row>
    <row r="40" spans="1:7" ht="19.899999999999999" customHeight="1" x14ac:dyDescent="0.25">
      <c r="A40" s="234" t="s">
        <v>90</v>
      </c>
      <c r="B40" s="235"/>
      <c r="C40" s="7">
        <v>199982</v>
      </c>
      <c r="D40" s="138">
        <v>391000</v>
      </c>
      <c r="E40" s="117"/>
      <c r="F40" s="1">
        <v>0</v>
      </c>
      <c r="G40" s="10"/>
    </row>
    <row r="41" spans="1:7" ht="19.899999999999999" customHeight="1" x14ac:dyDescent="0.25">
      <c r="A41" s="234" t="s">
        <v>61</v>
      </c>
      <c r="B41" s="235"/>
      <c r="C41" s="7">
        <v>79993</v>
      </c>
      <c r="D41" s="98">
        <v>116840.95</v>
      </c>
      <c r="E41" s="98"/>
      <c r="F41" s="1">
        <v>119814.93</v>
      </c>
      <c r="G41" s="13">
        <f>F41*1.03</f>
        <v>123409.37789999999</v>
      </c>
    </row>
    <row r="42" spans="1:7" ht="19.899999999999999" customHeight="1" x14ac:dyDescent="0.25">
      <c r="A42" s="234" t="s">
        <v>62</v>
      </c>
      <c r="B42" s="235"/>
      <c r="C42" s="7">
        <v>150000</v>
      </c>
      <c r="D42" s="98">
        <v>450000</v>
      </c>
      <c r="E42" s="98"/>
      <c r="F42" s="1">
        <v>0</v>
      </c>
      <c r="G42" s="10">
        <v>150000</v>
      </c>
    </row>
    <row r="43" spans="1:7" ht="40.9" customHeight="1" x14ac:dyDescent="0.25">
      <c r="A43" s="225" t="s">
        <v>69</v>
      </c>
      <c r="B43" s="226"/>
      <c r="C43" s="7">
        <v>66950</v>
      </c>
      <c r="D43" s="98">
        <f>C43*1.03</f>
        <v>68958.5</v>
      </c>
      <c r="E43" s="98"/>
      <c r="F43" s="1">
        <v>72061.63</v>
      </c>
      <c r="G43" s="13">
        <f>F43*1.045</f>
        <v>75304.403349999993</v>
      </c>
    </row>
    <row r="44" spans="1:7" s="99" customFormat="1" ht="15.75" customHeight="1" x14ac:dyDescent="0.25">
      <c r="A44" s="225" t="s">
        <v>114</v>
      </c>
      <c r="B44" s="226"/>
      <c r="C44" s="98">
        <v>0</v>
      </c>
      <c r="D44" s="98">
        <v>50000</v>
      </c>
      <c r="E44" s="118"/>
      <c r="F44" s="120">
        <v>0</v>
      </c>
      <c r="G44" s="10">
        <v>0</v>
      </c>
    </row>
    <row r="45" spans="1:7" ht="30" customHeight="1" x14ac:dyDescent="0.25">
      <c r="A45" s="225" t="s">
        <v>112</v>
      </c>
      <c r="B45" s="226"/>
      <c r="C45" s="7">
        <v>0</v>
      </c>
      <c r="D45" s="98">
        <v>0</v>
      </c>
      <c r="E45" s="118"/>
      <c r="F45" s="120">
        <v>123622</v>
      </c>
      <c r="G45" s="10">
        <v>0</v>
      </c>
    </row>
    <row r="46" spans="1:7" ht="15.6" customHeight="1" x14ac:dyDescent="0.25">
      <c r="A46" s="21"/>
      <c r="B46" s="22" t="s">
        <v>3</v>
      </c>
      <c r="C46" s="62">
        <f t="shared" ref="C46:E46" si="4">SUM(C35:C45)</f>
        <v>4419527</v>
      </c>
      <c r="D46" s="62">
        <f t="shared" si="4"/>
        <v>2011893.45</v>
      </c>
      <c r="E46" s="62">
        <f t="shared" si="4"/>
        <v>0</v>
      </c>
      <c r="F46" s="62">
        <f>SUM(F35:F45)</f>
        <v>4720726.95</v>
      </c>
      <c r="G46" s="62">
        <f>SUM(G35:G45)</f>
        <v>2808713.78125</v>
      </c>
    </row>
    <row r="47" spans="1:7" ht="19.899999999999999" customHeight="1" x14ac:dyDescent="0.25">
      <c r="A47" s="238" t="s">
        <v>16</v>
      </c>
      <c r="B47" s="239"/>
      <c r="C47" s="239"/>
      <c r="D47" s="239"/>
      <c r="E47" s="239"/>
      <c r="F47" s="239"/>
      <c r="G47" s="240"/>
    </row>
    <row r="48" spans="1:7" ht="19.899999999999999" customHeight="1" x14ac:dyDescent="0.25">
      <c r="A48" s="215" t="s">
        <v>102</v>
      </c>
      <c r="B48" s="215"/>
      <c r="C48" s="1">
        <v>0</v>
      </c>
      <c r="D48" s="1">
        <v>479455</v>
      </c>
      <c r="E48" s="119"/>
      <c r="F48" s="63">
        <v>500000</v>
      </c>
      <c r="G48" s="10">
        <v>500000</v>
      </c>
    </row>
    <row r="49" spans="1:7" ht="19.899999999999999" customHeight="1" x14ac:dyDescent="0.25">
      <c r="A49" s="225" t="s">
        <v>41</v>
      </c>
      <c r="B49" s="226"/>
      <c r="C49" s="1">
        <v>0</v>
      </c>
      <c r="D49" s="1">
        <v>521579.82</v>
      </c>
      <c r="E49" s="1"/>
      <c r="F49" s="10">
        <v>0</v>
      </c>
      <c r="G49" s="10">
        <v>0</v>
      </c>
    </row>
    <row r="50" spans="1:7" ht="19.899999999999999" customHeight="1" x14ac:dyDescent="0.25">
      <c r="A50" s="25"/>
      <c r="B50" s="89" t="s">
        <v>3</v>
      </c>
      <c r="C50" s="3">
        <f t="shared" ref="C50:G50" si="5">SUM(C48:C48)</f>
        <v>0</v>
      </c>
      <c r="D50" s="3">
        <f>SUM(D48:D49)</f>
        <v>1001034.8200000001</v>
      </c>
      <c r="E50" s="3"/>
      <c r="F50" s="3">
        <f t="shared" si="5"/>
        <v>500000</v>
      </c>
      <c r="G50" s="3">
        <f t="shared" si="5"/>
        <v>500000</v>
      </c>
    </row>
    <row r="51" spans="1:7" ht="19.899999999999999" customHeight="1" x14ac:dyDescent="0.25">
      <c r="A51" s="236" t="s">
        <v>17</v>
      </c>
      <c r="B51" s="237"/>
      <c r="C51" s="3">
        <f>C5+C11+C26+C33+C46+C50</f>
        <v>7312639.4700000007</v>
      </c>
      <c r="D51" s="3">
        <f>D5+D11+D26+D33+D46+D50</f>
        <v>5728411.1000000006</v>
      </c>
      <c r="E51" s="3"/>
      <c r="F51" s="3">
        <f>F5+F11+F26+F33+F46+F50</f>
        <v>7620499.3700000001</v>
      </c>
      <c r="G51" s="3">
        <f>G5+G11+G26+G33+G46+G50</f>
        <v>5598043.2648499999</v>
      </c>
    </row>
    <row r="52" spans="1:7" ht="19.899999999999999" customHeight="1" x14ac:dyDescent="0.25">
      <c r="A52" s="140" t="s">
        <v>105</v>
      </c>
      <c r="C52" s="26"/>
      <c r="D52" s="27"/>
      <c r="E52" s="27"/>
    </row>
    <row r="53" spans="1:7" ht="19.899999999999999" customHeight="1" x14ac:dyDescent="0.25">
      <c r="A53" s="115"/>
    </row>
    <row r="54" spans="1:7" ht="19.899999999999999" customHeight="1" x14ac:dyDescent="0.25">
      <c r="A54" s="28"/>
    </row>
  </sheetData>
  <mergeCells count="43">
    <mergeCell ref="A51:B51"/>
    <mergeCell ref="A48:B48"/>
    <mergeCell ref="A42:B42"/>
    <mergeCell ref="A43:B43"/>
    <mergeCell ref="A41:B41"/>
    <mergeCell ref="A45:B45"/>
    <mergeCell ref="A44:B44"/>
    <mergeCell ref="A47:G47"/>
    <mergeCell ref="A49:B49"/>
    <mergeCell ref="A40:B40"/>
    <mergeCell ref="A39:B39"/>
    <mergeCell ref="A37:B37"/>
    <mergeCell ref="A38:B38"/>
    <mergeCell ref="A22:B22"/>
    <mergeCell ref="A24:B24"/>
    <mergeCell ref="A28:B28"/>
    <mergeCell ref="A34:G34"/>
    <mergeCell ref="A29:B29"/>
    <mergeCell ref="A36:B36"/>
    <mergeCell ref="A31:B31"/>
    <mergeCell ref="A30:B30"/>
    <mergeCell ref="A35:B35"/>
    <mergeCell ref="A10:B10"/>
    <mergeCell ref="A16:B16"/>
    <mergeCell ref="A3:G3"/>
    <mergeCell ref="A6:G6"/>
    <mergeCell ref="A12:G12"/>
    <mergeCell ref="A17:B17"/>
    <mergeCell ref="A18:G18"/>
    <mergeCell ref="A27:G27"/>
    <mergeCell ref="A15:B15"/>
    <mergeCell ref="A1:B1"/>
    <mergeCell ref="A9:B9"/>
    <mergeCell ref="A23:B23"/>
    <mergeCell ref="A25:B25"/>
    <mergeCell ref="A4:B4"/>
    <mergeCell ref="A7:B7"/>
    <mergeCell ref="A8:B8"/>
    <mergeCell ref="A13:B13"/>
    <mergeCell ref="A14:B14"/>
    <mergeCell ref="A19:B19"/>
    <mergeCell ref="A20:B20"/>
    <mergeCell ref="A21:B21"/>
  </mergeCells>
  <pageMargins left="0.25" right="0.25" top="0.25" bottom="0.25" header="0.3" footer="0.3"/>
  <pageSetup paperSize="17" orientation="portrait" r:id="rId1"/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Views>
    <sheetView tabSelected="1" showRuler="0" zoomScaleNormal="100" workbookViewId="0">
      <selection activeCell="F19" sqref="F19"/>
    </sheetView>
  </sheetViews>
  <sheetFormatPr defaultColWidth="18.85546875" defaultRowHeight="24" customHeight="1" x14ac:dyDescent="0.25"/>
  <cols>
    <col min="1" max="1" width="18.85546875" style="12"/>
    <col min="2" max="2" width="31.28515625" style="12" customWidth="1"/>
    <col min="3" max="6" width="17.5703125" style="12" bestFit="1" customWidth="1"/>
    <col min="7" max="7" width="17.5703125" style="12" hidden="1" customWidth="1"/>
    <col min="8" max="16384" width="18.85546875" style="12"/>
  </cols>
  <sheetData>
    <row r="1" spans="1:7" ht="15.75" x14ac:dyDescent="0.25">
      <c r="A1" s="58" t="s">
        <v>29</v>
      </c>
      <c r="B1" s="59"/>
      <c r="C1" s="154">
        <v>2017</v>
      </c>
      <c r="D1" s="154">
        <v>2018</v>
      </c>
      <c r="E1" s="154">
        <v>2018</v>
      </c>
      <c r="F1" s="154">
        <v>2019</v>
      </c>
      <c r="G1" s="153">
        <v>2020</v>
      </c>
    </row>
    <row r="2" spans="1:7" ht="31.5" customHeight="1" thickBot="1" x14ac:dyDescent="0.3">
      <c r="A2" s="60"/>
      <c r="B2" s="61"/>
      <c r="C2" s="155" t="s">
        <v>19</v>
      </c>
      <c r="D2" s="155" t="s">
        <v>43</v>
      </c>
      <c r="E2" s="156" t="s">
        <v>77</v>
      </c>
      <c r="F2" s="155" t="s">
        <v>7</v>
      </c>
      <c r="G2" s="152" t="s">
        <v>39</v>
      </c>
    </row>
    <row r="3" spans="1:7" ht="19.149999999999999" customHeight="1" x14ac:dyDescent="0.25">
      <c r="A3" s="244" t="s">
        <v>30</v>
      </c>
      <c r="B3" s="245"/>
      <c r="C3" s="246"/>
      <c r="D3" s="246"/>
      <c r="E3" s="246"/>
      <c r="F3" s="246"/>
      <c r="G3" s="247"/>
    </row>
    <row r="4" spans="1:7" ht="30" customHeight="1" x14ac:dyDescent="0.25">
      <c r="A4" s="258" t="s">
        <v>75</v>
      </c>
      <c r="B4" s="258"/>
      <c r="C4" s="18">
        <v>732854.88</v>
      </c>
      <c r="D4" s="18">
        <v>693608</v>
      </c>
      <c r="E4" s="18"/>
      <c r="F4" s="18">
        <v>727397.03</v>
      </c>
      <c r="G4" s="13">
        <f>F4*1.03</f>
        <v>749218.94090000005</v>
      </c>
    </row>
    <row r="5" spans="1:7" ht="30" customHeight="1" x14ac:dyDescent="0.25">
      <c r="A5" s="259" t="s">
        <v>74</v>
      </c>
      <c r="B5" s="259"/>
      <c r="C5" s="18">
        <v>135740</v>
      </c>
      <c r="D5" s="18">
        <v>144000</v>
      </c>
      <c r="E5" s="18"/>
      <c r="F5" s="18">
        <v>179320</v>
      </c>
      <c r="G5" s="13">
        <f>F5*1.045</f>
        <v>187389.4</v>
      </c>
    </row>
    <row r="6" spans="1:7" ht="59.45" customHeight="1" x14ac:dyDescent="0.25">
      <c r="A6" s="258" t="s">
        <v>76</v>
      </c>
      <c r="B6" s="258"/>
      <c r="C6" s="77">
        <v>917809</v>
      </c>
      <c r="D6" s="18">
        <v>1186440.52</v>
      </c>
      <c r="E6" s="18"/>
      <c r="F6" s="187">
        <v>1115497</v>
      </c>
      <c r="G6" s="13">
        <f>F6*1.03</f>
        <v>1148961.9099999999</v>
      </c>
    </row>
    <row r="7" spans="1:7" ht="28.15" customHeight="1" x14ac:dyDescent="0.25">
      <c r="A7" s="265" t="s">
        <v>129</v>
      </c>
      <c r="B7" s="265"/>
      <c r="C7" s="18">
        <f>22072.71+28120+23022.08</f>
        <v>73214.790000000008</v>
      </c>
      <c r="D7" s="18">
        <v>74497.94</v>
      </c>
      <c r="E7" s="18"/>
      <c r="F7" s="168">
        <v>0</v>
      </c>
      <c r="G7" s="13">
        <v>115000</v>
      </c>
    </row>
    <row r="8" spans="1:7" ht="18.600000000000001" customHeight="1" x14ac:dyDescent="0.25">
      <c r="A8" s="266" t="s">
        <v>138</v>
      </c>
      <c r="B8" s="266"/>
      <c r="C8" s="18">
        <v>0</v>
      </c>
      <c r="D8" s="18">
        <v>0</v>
      </c>
      <c r="E8" s="18"/>
      <c r="F8" s="18">
        <v>15000</v>
      </c>
      <c r="G8" s="10">
        <v>15000</v>
      </c>
    </row>
    <row r="9" spans="1:7" ht="15.75" x14ac:dyDescent="0.25">
      <c r="A9" s="30"/>
      <c r="B9" s="31" t="s">
        <v>31</v>
      </c>
      <c r="C9" s="72">
        <f>SUM(C4:C8)</f>
        <v>1859618.67</v>
      </c>
      <c r="D9" s="72">
        <f>SUM(D4:D8)</f>
        <v>2098546.46</v>
      </c>
      <c r="E9" s="72"/>
      <c r="F9" s="72">
        <f>SUM(F4:F8)</f>
        <v>2037214.03</v>
      </c>
      <c r="G9" s="72">
        <f>SUM(G4:G8)</f>
        <v>2215570.2508999999</v>
      </c>
    </row>
    <row r="10" spans="1:7" ht="15.75" x14ac:dyDescent="0.25">
      <c r="A10" s="248" t="s">
        <v>32</v>
      </c>
      <c r="B10" s="249"/>
      <c r="C10" s="249"/>
      <c r="D10" s="249"/>
      <c r="E10" s="249"/>
      <c r="F10" s="249"/>
      <c r="G10" s="250"/>
    </row>
    <row r="11" spans="1:7" ht="15.75" x14ac:dyDescent="0.25">
      <c r="A11" s="67" t="s">
        <v>57</v>
      </c>
      <c r="B11" s="32" t="s">
        <v>31</v>
      </c>
      <c r="C11" s="78">
        <v>0</v>
      </c>
      <c r="D11" s="78">
        <v>570377.34</v>
      </c>
      <c r="E11" s="78"/>
      <c r="F11" s="68">
        <v>0</v>
      </c>
      <c r="G11" s="116">
        <v>0</v>
      </c>
    </row>
    <row r="12" spans="1:7" ht="16.149999999999999" customHeight="1" x14ac:dyDescent="0.25">
      <c r="A12" s="251" t="s">
        <v>33</v>
      </c>
      <c r="B12" s="252"/>
      <c r="C12" s="252"/>
      <c r="D12" s="252"/>
      <c r="E12" s="252"/>
      <c r="F12" s="252"/>
      <c r="G12" s="253"/>
    </row>
    <row r="13" spans="1:7" ht="30.6" customHeight="1" x14ac:dyDescent="0.25">
      <c r="A13" s="257" t="s">
        <v>78</v>
      </c>
      <c r="B13" s="257"/>
      <c r="C13" s="43">
        <v>257849.95</v>
      </c>
      <c r="D13" s="79">
        <f>261331.15+58872</f>
        <v>320203.15000000002</v>
      </c>
      <c r="E13" s="80">
        <v>58872</v>
      </c>
      <c r="F13" s="142">
        <v>225518.45</v>
      </c>
      <c r="G13" s="1">
        <v>292277.88</v>
      </c>
    </row>
    <row r="14" spans="1:7" ht="15" x14ac:dyDescent="0.25">
      <c r="A14" s="242" t="s">
        <v>94</v>
      </c>
      <c r="B14" s="243"/>
      <c r="C14" s="141">
        <v>47944.61</v>
      </c>
      <c r="D14" s="143">
        <f>45712.31+47083</f>
        <v>92795.31</v>
      </c>
      <c r="E14" s="135">
        <v>47083</v>
      </c>
      <c r="F14" s="141">
        <v>0</v>
      </c>
      <c r="G14" s="146">
        <f>E14*1.03</f>
        <v>48495.49</v>
      </c>
    </row>
    <row r="15" spans="1:7" ht="15" x14ac:dyDescent="0.25">
      <c r="A15" s="242" t="s">
        <v>67</v>
      </c>
      <c r="B15" s="243"/>
      <c r="C15" s="141">
        <v>76295.88</v>
      </c>
      <c r="D15" s="143">
        <f>67790.55+4522</f>
        <v>72312.55</v>
      </c>
      <c r="E15" s="135">
        <v>4522</v>
      </c>
      <c r="F15" s="141">
        <f>74301.19-E15</f>
        <v>69779.19</v>
      </c>
      <c r="G15" s="147">
        <f>F15+E15*1.03</f>
        <v>74436.850000000006</v>
      </c>
    </row>
    <row r="16" spans="1:7" ht="15" x14ac:dyDescent="0.25">
      <c r="A16" s="242" t="s">
        <v>91</v>
      </c>
      <c r="B16" s="243"/>
      <c r="C16" s="141">
        <v>80269</v>
      </c>
      <c r="D16" s="143">
        <v>83362.55</v>
      </c>
      <c r="E16" s="135">
        <v>0</v>
      </c>
      <c r="F16" s="141">
        <f>96606.2</f>
        <v>96606.2</v>
      </c>
      <c r="G16" s="146">
        <f>F16*1.045</f>
        <v>100953.47899999999</v>
      </c>
    </row>
    <row r="17" spans="1:7" ht="15" x14ac:dyDescent="0.25">
      <c r="A17" s="242" t="s">
        <v>95</v>
      </c>
      <c r="B17" s="243"/>
      <c r="C17" s="141">
        <v>0</v>
      </c>
      <c r="D17" s="143">
        <f>7055+7267</f>
        <v>14322</v>
      </c>
      <c r="E17" s="135">
        <v>7267</v>
      </c>
      <c r="F17" s="141"/>
      <c r="G17" s="146">
        <f>E17*1.03</f>
        <v>7485.01</v>
      </c>
    </row>
    <row r="18" spans="1:7" ht="15" x14ac:dyDescent="0.25">
      <c r="A18" s="242" t="s">
        <v>96</v>
      </c>
      <c r="B18" s="243"/>
      <c r="C18" s="141">
        <v>53340.46</v>
      </c>
      <c r="D18" s="143">
        <v>57410.74</v>
      </c>
      <c r="E18" s="135">
        <v>0</v>
      </c>
      <c r="F18" s="141">
        <v>59133.06</v>
      </c>
      <c r="G18" s="146">
        <f>F18*1.03</f>
        <v>60907.051800000001</v>
      </c>
    </row>
    <row r="19" spans="1:7" ht="15" x14ac:dyDescent="0.25">
      <c r="A19" s="257" t="s">
        <v>79</v>
      </c>
      <c r="B19" s="257"/>
      <c r="C19" s="43">
        <f>439042+312862</f>
        <v>751904</v>
      </c>
      <c r="D19" s="79">
        <f>755466+44407.82</f>
        <v>799873.82</v>
      </c>
      <c r="E19" s="80">
        <v>44407.82</v>
      </c>
      <c r="F19" s="73">
        <v>799673.33</v>
      </c>
      <c r="G19" s="13">
        <f>G22+G21+G20</f>
        <v>831552.6899</v>
      </c>
    </row>
    <row r="20" spans="1:7" ht="15" x14ac:dyDescent="0.25">
      <c r="A20" s="242" t="s">
        <v>91</v>
      </c>
      <c r="B20" s="243"/>
      <c r="C20" s="135"/>
      <c r="D20" s="143">
        <v>455772.52</v>
      </c>
      <c r="E20" s="135"/>
      <c r="F20" s="144">
        <v>525944</v>
      </c>
      <c r="G20" s="145">
        <f>F20*1.045</f>
        <v>549611.48</v>
      </c>
    </row>
    <row r="21" spans="1:7" ht="15" x14ac:dyDescent="0.25">
      <c r="A21" s="242" t="s">
        <v>67</v>
      </c>
      <c r="B21" s="243"/>
      <c r="C21" s="135"/>
      <c r="D21" s="143">
        <v>250901.02</v>
      </c>
      <c r="E21" s="135">
        <v>44407.82</v>
      </c>
      <c r="F21" s="144">
        <f>266206.25-E21</f>
        <v>221798.43</v>
      </c>
      <c r="G21" s="145">
        <f>F21*1.03</f>
        <v>228452.3829</v>
      </c>
    </row>
    <row r="22" spans="1:7" ht="15" x14ac:dyDescent="0.25">
      <c r="A22" s="242" t="s">
        <v>96</v>
      </c>
      <c r="B22" s="243"/>
      <c r="C22" s="135"/>
      <c r="D22" s="143">
        <v>48792</v>
      </c>
      <c r="E22" s="135"/>
      <c r="F22" s="144">
        <v>51930.9</v>
      </c>
      <c r="G22" s="145">
        <f>F22*1.03</f>
        <v>53488.827000000005</v>
      </c>
    </row>
    <row r="23" spans="1:7" ht="30.6" customHeight="1" x14ac:dyDescent="0.25">
      <c r="A23" s="229" t="s">
        <v>116</v>
      </c>
      <c r="B23" s="229"/>
      <c r="C23" s="76">
        <v>102000</v>
      </c>
      <c r="D23" s="81">
        <v>214870</v>
      </c>
      <c r="E23" s="82">
        <v>109300</v>
      </c>
      <c r="F23" s="18">
        <v>0</v>
      </c>
      <c r="G23" s="116"/>
    </row>
    <row r="24" spans="1:7" ht="15" x14ac:dyDescent="0.25">
      <c r="A24" s="257" t="s">
        <v>80</v>
      </c>
      <c r="B24" s="257"/>
      <c r="C24" s="43">
        <v>234000</v>
      </c>
      <c r="D24" s="73">
        <v>244850</v>
      </c>
      <c r="E24" s="164"/>
      <c r="F24" s="73">
        <v>265600</v>
      </c>
      <c r="G24" s="13">
        <f>F24*1.03</f>
        <v>273568</v>
      </c>
    </row>
    <row r="25" spans="1:7" ht="17.45" customHeight="1" x14ac:dyDescent="0.25">
      <c r="A25" s="65"/>
      <c r="B25" s="33" t="s">
        <v>31</v>
      </c>
      <c r="C25" s="74">
        <f>C13+C19+C23+C24</f>
        <v>1345753.95</v>
      </c>
      <c r="D25" s="74">
        <f t="shared" ref="D25:G25" si="0">D13+D19+D23+D24</f>
        <v>1579796.97</v>
      </c>
      <c r="E25" s="74">
        <f t="shared" si="0"/>
        <v>212579.82</v>
      </c>
      <c r="F25" s="161">
        <f t="shared" si="0"/>
        <v>1290791.78</v>
      </c>
      <c r="G25" s="74">
        <f t="shared" si="0"/>
        <v>1397398.5699</v>
      </c>
    </row>
    <row r="26" spans="1:7" ht="15" customHeight="1" x14ac:dyDescent="0.25">
      <c r="A26" s="254" t="s">
        <v>34</v>
      </c>
      <c r="B26" s="255"/>
      <c r="C26" s="255"/>
      <c r="D26" s="255"/>
      <c r="E26" s="255"/>
      <c r="F26" s="255"/>
      <c r="G26" s="256"/>
    </row>
    <row r="27" spans="1:7" ht="28.9" customHeight="1" x14ac:dyDescent="0.25">
      <c r="A27" s="267" t="s">
        <v>124</v>
      </c>
      <c r="B27" s="267"/>
      <c r="C27" s="43">
        <f>55139+34731</f>
        <v>89870</v>
      </c>
      <c r="D27" s="43">
        <v>137189.89000000001</v>
      </c>
      <c r="E27" s="43"/>
      <c r="F27" s="128">
        <v>175000</v>
      </c>
      <c r="G27" s="116"/>
    </row>
    <row r="28" spans="1:7" ht="15" x14ac:dyDescent="0.25">
      <c r="A28" s="242" t="s">
        <v>67</v>
      </c>
      <c r="B28" s="243"/>
      <c r="C28" s="135"/>
      <c r="D28" s="141">
        <v>27714.77</v>
      </c>
      <c r="E28" s="135"/>
      <c r="F28" s="135"/>
      <c r="G28" s="136"/>
    </row>
    <row r="29" spans="1:7" ht="15" x14ac:dyDescent="0.25">
      <c r="A29" s="242" t="s">
        <v>91</v>
      </c>
      <c r="B29" s="243"/>
      <c r="C29" s="135"/>
      <c r="D29" s="141">
        <v>49985.57</v>
      </c>
      <c r="E29" s="135"/>
      <c r="F29" s="135"/>
      <c r="G29" s="136"/>
    </row>
    <row r="30" spans="1:7" ht="15" x14ac:dyDescent="0.25">
      <c r="A30" s="242" t="s">
        <v>127</v>
      </c>
      <c r="B30" s="243"/>
      <c r="C30" s="135"/>
      <c r="D30" s="141">
        <v>59489.55</v>
      </c>
      <c r="E30" s="135"/>
      <c r="F30" s="142">
        <v>36000</v>
      </c>
      <c r="G30" s="136"/>
    </row>
    <row r="31" spans="1:7" ht="19.149999999999999" customHeight="1" x14ac:dyDescent="0.25">
      <c r="A31" s="257" t="s">
        <v>81</v>
      </c>
      <c r="B31" s="257"/>
      <c r="C31" s="43">
        <v>0</v>
      </c>
      <c r="D31" s="43">
        <v>63229</v>
      </c>
      <c r="E31" s="43"/>
      <c r="F31" s="43">
        <v>0</v>
      </c>
      <c r="G31" s="116"/>
    </row>
    <row r="32" spans="1:7" ht="15" x14ac:dyDescent="0.25">
      <c r="A32" s="257" t="s">
        <v>115</v>
      </c>
      <c r="B32" s="257"/>
      <c r="C32" s="43">
        <v>0</v>
      </c>
      <c r="D32" s="43">
        <v>26345</v>
      </c>
      <c r="E32" s="43"/>
      <c r="F32" s="43">
        <v>0</v>
      </c>
      <c r="G32" s="116"/>
    </row>
    <row r="33" spans="1:7" ht="15" x14ac:dyDescent="0.25">
      <c r="A33" s="242"/>
      <c r="B33" s="243"/>
      <c r="C33" s="135"/>
      <c r="D33" s="141">
        <v>26345</v>
      </c>
      <c r="E33" s="135"/>
      <c r="F33" s="144">
        <v>0</v>
      </c>
      <c r="G33" s="136"/>
    </row>
    <row r="34" spans="1:7" ht="28.5" customHeight="1" x14ac:dyDescent="0.25">
      <c r="A34" s="257" t="s">
        <v>123</v>
      </c>
      <c r="B34" s="257"/>
      <c r="C34" s="43">
        <v>0</v>
      </c>
      <c r="D34" s="43">
        <v>183713</v>
      </c>
      <c r="E34" s="43"/>
      <c r="F34" s="128">
        <v>174885</v>
      </c>
      <c r="G34" s="116"/>
    </row>
    <row r="35" spans="1:7" s="137" customFormat="1" ht="12.75" x14ac:dyDescent="0.25">
      <c r="A35" s="242" t="s">
        <v>67</v>
      </c>
      <c r="B35" s="243"/>
      <c r="C35" s="135"/>
      <c r="D35" s="141">
        <v>145580</v>
      </c>
      <c r="E35" s="135"/>
      <c r="F35" s="141">
        <v>139580</v>
      </c>
      <c r="G35" s="136"/>
    </row>
    <row r="36" spans="1:7" s="137" customFormat="1" ht="12.75" x14ac:dyDescent="0.25">
      <c r="A36" s="242" t="s">
        <v>91</v>
      </c>
      <c r="B36" s="243"/>
      <c r="C36" s="135"/>
      <c r="D36" s="141">
        <v>38132</v>
      </c>
      <c r="E36" s="135"/>
      <c r="F36" s="141">
        <v>35305</v>
      </c>
      <c r="G36" s="136"/>
    </row>
    <row r="37" spans="1:7" ht="15.75" x14ac:dyDescent="0.25">
      <c r="A37" s="65"/>
      <c r="B37" s="33" t="s">
        <v>31</v>
      </c>
      <c r="C37" s="75">
        <f>C34+C32+C31+C27</f>
        <v>89870</v>
      </c>
      <c r="D37" s="75">
        <f>D34+D32+D31+D27</f>
        <v>410476.89</v>
      </c>
      <c r="E37" s="75"/>
      <c r="F37" s="75">
        <f>F34+F32+F31+F27+F30</f>
        <v>385885</v>
      </c>
      <c r="G37" s="75">
        <f>G34+G32+G31+G27</f>
        <v>0</v>
      </c>
    </row>
    <row r="38" spans="1:7" ht="15.75" x14ac:dyDescent="0.25">
      <c r="A38" s="254" t="s">
        <v>35</v>
      </c>
      <c r="B38" s="255"/>
      <c r="C38" s="255"/>
      <c r="D38" s="255"/>
      <c r="E38" s="255"/>
      <c r="F38" s="255"/>
      <c r="G38" s="256"/>
    </row>
    <row r="39" spans="1:7" ht="15" x14ac:dyDescent="0.25">
      <c r="A39" s="241" t="s">
        <v>122</v>
      </c>
      <c r="B39" s="241"/>
      <c r="C39" s="73"/>
      <c r="D39" s="73">
        <v>74426</v>
      </c>
      <c r="E39" s="73"/>
      <c r="F39" s="73">
        <v>0</v>
      </c>
      <c r="G39" s="116"/>
    </row>
    <row r="40" spans="1:7" ht="15" x14ac:dyDescent="0.25">
      <c r="A40" s="242" t="s">
        <v>92</v>
      </c>
      <c r="B40" s="243"/>
      <c r="C40" s="135"/>
      <c r="D40" s="135">
        <v>0</v>
      </c>
      <c r="E40" s="135"/>
      <c r="F40" s="135"/>
      <c r="G40" s="136"/>
    </row>
    <row r="41" spans="1:7" ht="15" x14ac:dyDescent="0.25">
      <c r="A41" s="242" t="s">
        <v>93</v>
      </c>
      <c r="B41" s="243"/>
      <c r="C41" s="135"/>
      <c r="D41" s="135">
        <v>63466</v>
      </c>
      <c r="E41" s="135"/>
      <c r="F41" s="135"/>
      <c r="G41" s="136"/>
    </row>
    <row r="42" spans="1:7" ht="15" x14ac:dyDescent="0.25">
      <c r="A42" s="242" t="s">
        <v>67</v>
      </c>
      <c r="B42" s="243"/>
      <c r="C42" s="135"/>
      <c r="D42" s="135">
        <v>1346</v>
      </c>
      <c r="E42" s="135"/>
      <c r="F42" s="135"/>
      <c r="G42" s="136"/>
    </row>
    <row r="43" spans="1:7" ht="15" x14ac:dyDescent="0.25">
      <c r="A43" s="242" t="s">
        <v>91</v>
      </c>
      <c r="B43" s="243"/>
      <c r="C43" s="135"/>
      <c r="D43" s="135">
        <v>9614</v>
      </c>
      <c r="E43" s="135"/>
      <c r="F43" s="135"/>
      <c r="G43" s="136"/>
    </row>
    <row r="44" spans="1:7" ht="15" x14ac:dyDescent="0.25">
      <c r="A44" s="257" t="s">
        <v>82</v>
      </c>
      <c r="B44" s="257"/>
      <c r="C44" s="73">
        <v>0</v>
      </c>
      <c r="D44" s="73">
        <v>77742</v>
      </c>
      <c r="E44" s="73"/>
      <c r="F44" s="73">
        <v>0</v>
      </c>
      <c r="G44" s="116"/>
    </row>
    <row r="45" spans="1:7" ht="16.899999999999999" customHeight="1" x14ac:dyDescent="0.25">
      <c r="A45" s="65"/>
      <c r="B45" s="33" t="s">
        <v>31</v>
      </c>
      <c r="C45" s="75">
        <f>SUM(C39:C44)</f>
        <v>0</v>
      </c>
      <c r="D45" s="75">
        <f>SUM(D39:D44)</f>
        <v>226594</v>
      </c>
      <c r="E45" s="75"/>
      <c r="F45" s="75">
        <f t="shared" ref="F45:G45" si="1">SUM(F39:F44)</f>
        <v>0</v>
      </c>
      <c r="G45" s="75">
        <f t="shared" si="1"/>
        <v>0</v>
      </c>
    </row>
    <row r="46" spans="1:7" ht="17.45" customHeight="1" x14ac:dyDescent="0.25">
      <c r="A46" s="262" t="s">
        <v>36</v>
      </c>
      <c r="B46" s="263"/>
      <c r="C46" s="263"/>
      <c r="D46" s="263"/>
      <c r="E46" s="263"/>
      <c r="F46" s="263"/>
      <c r="G46" s="264"/>
    </row>
    <row r="47" spans="1:7" ht="30.6" customHeight="1" x14ac:dyDescent="0.25">
      <c r="A47" s="257" t="s">
        <v>87</v>
      </c>
      <c r="B47" s="257"/>
      <c r="C47" s="76">
        <v>150470</v>
      </c>
      <c r="D47" s="76">
        <f>278000-114000</f>
        <v>164000</v>
      </c>
      <c r="E47" s="76"/>
      <c r="F47" s="76">
        <v>189413.47</v>
      </c>
      <c r="G47" s="13">
        <f>F47*1.045</f>
        <v>197937.07614999998</v>
      </c>
    </row>
    <row r="48" spans="1:7" ht="15" x14ac:dyDescent="0.25">
      <c r="A48" s="257" t="s">
        <v>120</v>
      </c>
      <c r="B48" s="257"/>
      <c r="C48" s="18">
        <v>646160</v>
      </c>
      <c r="D48" s="83">
        <v>827646.28</v>
      </c>
      <c r="E48" s="82">
        <f>SUM(319727 + 60000 + 13926)</f>
        <v>393653</v>
      </c>
      <c r="F48" s="18">
        <v>68445.84</v>
      </c>
      <c r="G48" s="13">
        <v>476988.49</v>
      </c>
    </row>
    <row r="49" spans="1:7" ht="15" x14ac:dyDescent="0.25">
      <c r="A49" s="242" t="s">
        <v>94</v>
      </c>
      <c r="B49" s="243"/>
      <c r="C49" s="131">
        <v>588852</v>
      </c>
      <c r="D49" s="132">
        <f>374908.77+393653</f>
        <v>768561.77</v>
      </c>
      <c r="E49" s="131">
        <v>393653</v>
      </c>
      <c r="F49" s="133">
        <v>0</v>
      </c>
      <c r="G49" s="148">
        <f>E49*1.03</f>
        <v>405462.59</v>
      </c>
    </row>
    <row r="50" spans="1:7" ht="15" x14ac:dyDescent="0.25">
      <c r="A50" s="242" t="s">
        <v>91</v>
      </c>
      <c r="B50" s="243"/>
      <c r="C50" s="131">
        <v>57308</v>
      </c>
      <c r="D50" s="132">
        <v>59084.51</v>
      </c>
      <c r="E50" s="131"/>
      <c r="F50" s="133">
        <v>68445.84</v>
      </c>
      <c r="G50" s="148">
        <f>F50*1.045</f>
        <v>71525.902799999996</v>
      </c>
    </row>
    <row r="51" spans="1:7" ht="15" x14ac:dyDescent="0.25">
      <c r="A51" s="215" t="s">
        <v>83</v>
      </c>
      <c r="B51" s="215"/>
      <c r="C51" s="76">
        <v>0</v>
      </c>
      <c r="D51" s="76">
        <f>84162</f>
        <v>84162</v>
      </c>
      <c r="E51" s="82"/>
      <c r="F51" s="18">
        <v>0</v>
      </c>
      <c r="G51" s="10">
        <v>0</v>
      </c>
    </row>
    <row r="52" spans="1:7" ht="15" x14ac:dyDescent="0.25">
      <c r="A52" s="242" t="s">
        <v>94</v>
      </c>
      <c r="B52" s="243"/>
      <c r="C52" s="134">
        <v>0</v>
      </c>
      <c r="D52" s="133">
        <v>32563.59</v>
      </c>
      <c r="E52" s="131"/>
      <c r="F52" s="133">
        <v>0</v>
      </c>
      <c r="G52" s="157">
        <v>0</v>
      </c>
    </row>
    <row r="53" spans="1:7" ht="15" x14ac:dyDescent="0.25">
      <c r="A53" s="242" t="s">
        <v>91</v>
      </c>
      <c r="B53" s="243"/>
      <c r="C53" s="134">
        <v>0</v>
      </c>
      <c r="D53" s="133">
        <v>40819.199999999997</v>
      </c>
      <c r="E53" s="131"/>
      <c r="F53" s="133">
        <v>0</v>
      </c>
      <c r="G53" s="157">
        <v>0</v>
      </c>
    </row>
    <row r="54" spans="1:7" ht="15" x14ac:dyDescent="0.25">
      <c r="A54" s="242" t="s">
        <v>67</v>
      </c>
      <c r="B54" s="243"/>
      <c r="C54" s="134">
        <v>0</v>
      </c>
      <c r="D54" s="133">
        <v>10779.21</v>
      </c>
      <c r="E54" s="131"/>
      <c r="F54" s="133">
        <v>0</v>
      </c>
      <c r="G54" s="157">
        <v>0</v>
      </c>
    </row>
    <row r="55" spans="1:7" ht="15" x14ac:dyDescent="0.25">
      <c r="A55" s="215" t="s">
        <v>117</v>
      </c>
      <c r="B55" s="215"/>
      <c r="C55" s="43">
        <v>160000</v>
      </c>
      <c r="D55" s="184">
        <v>120000</v>
      </c>
      <c r="E55" s="84"/>
      <c r="F55" s="73">
        <v>160000</v>
      </c>
      <c r="G55" s="10">
        <v>180000</v>
      </c>
    </row>
    <row r="56" spans="1:7" ht="15" x14ac:dyDescent="0.25">
      <c r="A56" s="215" t="s">
        <v>118</v>
      </c>
      <c r="B56" s="215"/>
      <c r="C56" s="43">
        <v>86552</v>
      </c>
      <c r="D56" s="73">
        <f>93273</f>
        <v>93273</v>
      </c>
      <c r="E56" s="73"/>
      <c r="F56" s="73">
        <v>112751.56</v>
      </c>
      <c r="G56" s="13">
        <f>F56*1.045</f>
        <v>117825.38019999999</v>
      </c>
    </row>
    <row r="57" spans="1:7" ht="15" x14ac:dyDescent="0.25">
      <c r="A57" s="215" t="s">
        <v>119</v>
      </c>
      <c r="B57" s="215"/>
      <c r="C57" s="76">
        <v>99170</v>
      </c>
      <c r="D57" s="185">
        <f>70084</f>
        <v>70084</v>
      </c>
      <c r="E57" s="85"/>
      <c r="F57" s="18">
        <v>98119</v>
      </c>
      <c r="G57" s="13">
        <f>F57*1.03</f>
        <v>101062.57</v>
      </c>
    </row>
    <row r="58" spans="1:7" ht="15" x14ac:dyDescent="0.25">
      <c r="A58" s="261" t="s">
        <v>121</v>
      </c>
      <c r="B58" s="261"/>
      <c r="C58" s="76">
        <v>111681</v>
      </c>
      <c r="D58" s="18">
        <f>114786</f>
        <v>114786</v>
      </c>
      <c r="E58" s="18"/>
      <c r="F58" s="18">
        <v>134400.89000000001</v>
      </c>
      <c r="G58" s="116">
        <v>139773.94</v>
      </c>
    </row>
    <row r="59" spans="1:7" ht="15" x14ac:dyDescent="0.25">
      <c r="A59" s="242" t="s">
        <v>91</v>
      </c>
      <c r="B59" s="243"/>
      <c r="C59" s="133">
        <v>70865</v>
      </c>
      <c r="D59" s="133">
        <v>73970</v>
      </c>
      <c r="E59" s="133"/>
      <c r="F59" s="133">
        <v>89401.66</v>
      </c>
      <c r="G59" s="148">
        <f>F59*1.045</f>
        <v>93424.734700000001</v>
      </c>
    </row>
    <row r="60" spans="1:7" ht="15" x14ac:dyDescent="0.25">
      <c r="A60" s="242" t="s">
        <v>67</v>
      </c>
      <c r="B60" s="243"/>
      <c r="C60" s="133">
        <v>40816</v>
      </c>
      <c r="D60" s="133">
        <v>40816</v>
      </c>
      <c r="E60" s="133"/>
      <c r="F60" s="133">
        <v>44999.23</v>
      </c>
      <c r="G60" s="148">
        <f>F60*1.03</f>
        <v>46349.206900000005</v>
      </c>
    </row>
    <row r="61" spans="1:7" ht="15" x14ac:dyDescent="0.25">
      <c r="A61" s="261" t="s">
        <v>84</v>
      </c>
      <c r="B61" s="261"/>
      <c r="C61" s="76">
        <v>74269</v>
      </c>
      <c r="D61" s="185">
        <f>60313</f>
        <v>60313</v>
      </c>
      <c r="E61" s="85"/>
      <c r="F61" s="18">
        <v>95900.51</v>
      </c>
      <c r="G61" s="13">
        <f>F61*1.045</f>
        <v>100216.03294999999</v>
      </c>
    </row>
    <row r="62" spans="1:7" ht="15.75" x14ac:dyDescent="0.25">
      <c r="A62" s="66"/>
      <c r="B62" s="33" t="s">
        <v>31</v>
      </c>
      <c r="C62" s="74">
        <f t="shared" ref="C62:E62" si="2">C47+C48+C51+C55+C56+C57+C58+C61</f>
        <v>1328302</v>
      </c>
      <c r="D62" s="74">
        <f t="shared" si="2"/>
        <v>1534264.28</v>
      </c>
      <c r="E62" s="74">
        <f t="shared" si="2"/>
        <v>393653</v>
      </c>
      <c r="F62" s="74">
        <f>F47+F48+F51+F55+F56+F57+F58+F61</f>
        <v>859031.27</v>
      </c>
      <c r="G62" s="74">
        <f>SUM(G47:G61)</f>
        <v>1930565.9236999999</v>
      </c>
    </row>
    <row r="63" spans="1:7" ht="15.75" x14ac:dyDescent="0.25">
      <c r="A63" s="260" t="s">
        <v>37</v>
      </c>
      <c r="B63" s="260"/>
      <c r="C63" s="72">
        <f>C9+C11+C25+C37+C45+C62</f>
        <v>4623544.62</v>
      </c>
      <c r="D63" s="72">
        <f>D9+D11+D25+D37+D45+D62</f>
        <v>6420055.9399999995</v>
      </c>
      <c r="E63" s="72">
        <f>SUM(E4:E62)</f>
        <v>1709398.46</v>
      </c>
      <c r="F63" s="72">
        <f>F9+F11+F25+F37+F45+F62</f>
        <v>4572922.08</v>
      </c>
      <c r="G63" s="72">
        <f>G9+G11+G25+G37+G45+G62</f>
        <v>5543534.7445</v>
      </c>
    </row>
    <row r="64" spans="1:7" ht="15.75" x14ac:dyDescent="0.25">
      <c r="A64" s="158" t="s">
        <v>137</v>
      </c>
      <c r="C64" s="37"/>
      <c r="D64" s="34"/>
      <c r="E64" s="69"/>
      <c r="F64" s="34"/>
    </row>
    <row r="65" spans="1:6" ht="15" x14ac:dyDescent="0.25">
      <c r="A65" s="159"/>
      <c r="B65" s="38"/>
      <c r="D65" s="39"/>
      <c r="E65" s="70"/>
      <c r="F65" s="39"/>
    </row>
    <row r="66" spans="1:6" ht="15.75" x14ac:dyDescent="0.25">
      <c r="A66" s="160"/>
      <c r="D66" s="40"/>
      <c r="E66" s="71"/>
      <c r="F66" s="40"/>
    </row>
  </sheetData>
  <mergeCells count="55">
    <mergeCell ref="A32:B32"/>
    <mergeCell ref="A34:B34"/>
    <mergeCell ref="A53:B53"/>
    <mergeCell ref="A51:B51"/>
    <mergeCell ref="A47:B47"/>
    <mergeCell ref="A48:B48"/>
    <mergeCell ref="A44:B44"/>
    <mergeCell ref="A50:B50"/>
    <mergeCell ref="A52:B52"/>
    <mergeCell ref="A40:B40"/>
    <mergeCell ref="A7:B7"/>
    <mergeCell ref="A8:B8"/>
    <mergeCell ref="A28:B28"/>
    <mergeCell ref="A29:B29"/>
    <mergeCell ref="A20:B20"/>
    <mergeCell ref="A21:B21"/>
    <mergeCell ref="A22:B22"/>
    <mergeCell ref="A24:B24"/>
    <mergeCell ref="A27:B27"/>
    <mergeCell ref="A30:B30"/>
    <mergeCell ref="A33:B33"/>
    <mergeCell ref="A38:G38"/>
    <mergeCell ref="A31:B31"/>
    <mergeCell ref="A5:B5"/>
    <mergeCell ref="A6:B6"/>
    <mergeCell ref="A41:B41"/>
    <mergeCell ref="A42:B42"/>
    <mergeCell ref="A63:B63"/>
    <mergeCell ref="A55:B55"/>
    <mergeCell ref="A56:B56"/>
    <mergeCell ref="A57:B57"/>
    <mergeCell ref="A58:B58"/>
    <mergeCell ref="A61:B61"/>
    <mergeCell ref="A46:G46"/>
    <mergeCell ref="A54:B54"/>
    <mergeCell ref="A59:B59"/>
    <mergeCell ref="A60:B60"/>
    <mergeCell ref="A43:B43"/>
    <mergeCell ref="A49:B49"/>
    <mergeCell ref="A39:B39"/>
    <mergeCell ref="A35:B35"/>
    <mergeCell ref="A36:B36"/>
    <mergeCell ref="A3:G3"/>
    <mergeCell ref="A10:G10"/>
    <mergeCell ref="A12:G12"/>
    <mergeCell ref="A26:G26"/>
    <mergeCell ref="A13:B13"/>
    <mergeCell ref="A19:B19"/>
    <mergeCell ref="A23:B23"/>
    <mergeCell ref="A14:B14"/>
    <mergeCell ref="A15:B15"/>
    <mergeCell ref="A16:B16"/>
    <mergeCell ref="A17:B17"/>
    <mergeCell ref="A18:B18"/>
    <mergeCell ref="A4:B4"/>
  </mergeCells>
  <pageMargins left="0.25" right="0.25" top="0.25" bottom="0.25" header="0.3" footer="0.3"/>
  <pageSetup paperSize="17" orientation="portrait"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Summary</vt:lpstr>
      <vt:lpstr>Admin</vt:lpstr>
      <vt:lpstr>Rig</vt:lpstr>
      <vt:lpstr>Science</vt:lpstr>
    </vt:vector>
  </TitlesOfParts>
  <Company>Department of Interior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LWALKER</dc:creator>
  <cp:lastModifiedBy>CHunttDecarlo</cp:lastModifiedBy>
  <cp:lastPrinted>2018-12-05T22:37:05Z</cp:lastPrinted>
  <dcterms:created xsi:type="dcterms:W3CDTF">2016-08-15T21:09:10Z</dcterms:created>
  <dcterms:modified xsi:type="dcterms:W3CDTF">2018-12-05T23:07:56Z</dcterms:modified>
</cp:coreProperties>
</file>